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08"/>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426\AC\Temp\"/>
    </mc:Choice>
  </mc:AlternateContent>
  <xr:revisionPtr revIDLastSave="0" documentId="8_{CEDF5782-6DD5-4424-A38A-3BAA17DD2FBC}" xr6:coauthVersionLast="45" xr6:coauthVersionMax="45" xr10:uidLastSave="{00000000-0000-0000-0000-000000000000}"/>
  <workbookProtection workbookPassword="E288" lockStructure="1"/>
  <bookViews>
    <workbookView xWindow="5070" yWindow="1110" windowWidth="13620" windowHeight="10170" tabRatio="652" firstSheet="1" activeTab="1" xr2:uid="{00000000-000D-0000-FFFF-FFFF00000000}"/>
  </bookViews>
  <sheets>
    <sheet name="Instructions_Disclaimer"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Equations!$F$15</definedName>
    <definedName name="CLMAX_Threshold">Equations!$E$6</definedName>
    <definedName name="CLMIN">Equations!$F$13</definedName>
    <definedName name="CLMIN_Threshold">Equations!$E$4</definedName>
    <definedName name="CLNOM">Equations!$F$14</definedName>
    <definedName name="CLNOM_Threshold">Equations!$E$5</definedName>
    <definedName name="COUTMAX">'Design Calculator'!$F$31</definedName>
    <definedName name="CTIMER">'Design Calculator'!#REF!</definedName>
    <definedName name="FETPDISS">'Design Calculator'!$F$63</definedName>
    <definedName name="I_Cout_ss">Equations!$F$56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Calculator'!$F$55</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Calculator'!$A$1:$M$208</definedName>
    <definedName name="RDIV1">'Design Calculator'!$F$44</definedName>
    <definedName name="RDIV2">'Design Calculator'!$F$45</definedName>
    <definedName name="RDSON">'Design Calculator'!$AN$56</definedName>
    <definedName name="RPWR">'Design Calculator'!$F$68</definedName>
    <definedName name="Rrflt" localSheetId="5">[1]ILIM_SOA_considerations!$C$46</definedName>
    <definedName name="Rrflt">[2]ILIM_SOA_considerations!$C$46</definedName>
    <definedName name="Rs">'Design Calculator'!$F$41</definedName>
    <definedName name="RsEFF">Equations!$F$12</definedName>
    <definedName name="Rsense" localSheetId="5">[1]ILIM_SOA_considerations!$C$30</definedName>
    <definedName name="Rsense">[2]ILIM_SOA_considerations!$C$30</definedName>
    <definedName name="RsMAX">'Design Calculator'!$F$39</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Equations!$F$52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Calculator'!$F$79</definedName>
    <definedName name="Tfaultmax">'Design Calculator'!#REF!</definedName>
    <definedName name="ThetaJA">'Design Calculator'!$F$54</definedName>
    <definedName name="TINSERT">'Design Calculator'!$F$94</definedName>
    <definedName name="TINSERTMAX">Equations!$F$99</definedName>
    <definedName name="TINSERTMIN">Equations!$F$97</definedName>
    <definedName name="TJ">'Design Calculator'!$F$64</definedName>
    <definedName name="TJMAX">'Design Calculator'!$AN$57</definedName>
    <definedName name="Tsd" localSheetId="5">[1]ILIM_SOA_considerations!$C$67</definedName>
    <definedName name="Tsd">[2]ILIM_SOA_considerations!$C$67</definedName>
    <definedName name="TSTARTMAX">Equations!$F$86</definedName>
    <definedName name="TSTARTMIN">Equations!$F$84</definedName>
    <definedName name="TSTARTNOM">Equations!$F$85</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Calculator'!$AU$14:$AU$15</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6" i="1" l="1"/>
  <c r="F128" i="1" l="1"/>
  <c r="F129" i="1"/>
  <c r="F144" i="1"/>
  <c r="F143" i="1"/>
  <c r="F142" i="1"/>
  <c r="F147" i="1" l="1"/>
  <c r="AN57" i="1"/>
  <c r="AN58" i="1"/>
  <c r="AN59" i="1"/>
  <c r="AN60" i="1"/>
  <c r="AN61" i="1"/>
  <c r="AN62" i="1"/>
  <c r="AN56" i="1"/>
  <c r="F63" i="1" s="1"/>
  <c r="B4" i="7" l="1"/>
  <c r="G133" i="3"/>
  <c r="F133" i="3"/>
  <c r="F132" i="3"/>
  <c r="C9" i="7"/>
  <c r="H9" i="7"/>
  <c r="H24" i="7"/>
  <c r="F131" i="1" l="1"/>
  <c r="E21" i="14"/>
  <c r="F137" i="1" l="1"/>
  <c r="F136" i="1"/>
  <c r="F149" i="1"/>
  <c r="F146" i="1"/>
  <c r="F121" i="1" l="1"/>
  <c r="F122" i="1" s="1"/>
  <c r="F30" i="3" l="1"/>
  <c r="H100" i="3"/>
  <c r="G130" i="3" l="1"/>
  <c r="F129" i="3"/>
  <c r="G134" i="3"/>
  <c r="G131" i="3"/>
  <c r="G129" i="3"/>
  <c r="G121" i="3"/>
  <c r="G122" i="3" s="1"/>
  <c r="F104" i="1" s="1"/>
  <c r="F130" i="3"/>
  <c r="G132" i="3"/>
  <c r="F134" i="3"/>
  <c r="F131" i="3"/>
  <c r="G128" i="3"/>
  <c r="G125" i="3"/>
  <c r="G124" i="3"/>
  <c r="G123" i="3"/>
  <c r="F128" i="3"/>
  <c r="F112" i="1" s="1"/>
  <c r="F127" i="3"/>
  <c r="G127" i="3"/>
  <c r="G126" i="3"/>
  <c r="F126" i="3"/>
  <c r="F125" i="3"/>
  <c r="F111" i="1" s="1"/>
  <c r="F123" i="3"/>
  <c r="F124" i="3"/>
  <c r="E29" i="14"/>
  <c r="E27" i="14"/>
  <c r="E26" i="14"/>
  <c r="H41" i="14" s="1"/>
  <c r="E25" i="14"/>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Y24" i="13" s="1"/>
  <c r="R2" i="13"/>
  <c r="Q2" i="13"/>
  <c r="J2" i="13"/>
  <c r="H2" i="13"/>
  <c r="G2" i="13"/>
  <c r="F2" i="13"/>
  <c r="O207" i="3"/>
  <c r="J102" i="3"/>
  <c r="J101" i="3"/>
  <c r="J100" i="3"/>
  <c r="I102" i="3"/>
  <c r="I101" i="3"/>
  <c r="I100" i="3"/>
  <c r="H102" i="3"/>
  <c r="H101" i="3"/>
  <c r="G119" i="3"/>
  <c r="G120" i="3" s="1"/>
  <c r="F168" i="3"/>
  <c r="F167" i="3"/>
  <c r="F166" i="3"/>
  <c r="F143" i="3"/>
  <c r="F142" i="3"/>
  <c r="F119" i="3"/>
  <c r="F108" i="3"/>
  <c r="F107" i="3"/>
  <c r="K143" i="1" s="1"/>
  <c r="F106" i="3"/>
  <c r="F105" i="3"/>
  <c r="F104" i="3"/>
  <c r="K142" i="1" s="1"/>
  <c r="F103" i="3"/>
  <c r="F68" i="3"/>
  <c r="F69" i="3" s="1"/>
  <c r="F92" i="1" s="1"/>
  <c r="F66" i="3"/>
  <c r="F67" i="3" s="1"/>
  <c r="F90" i="1" s="1"/>
  <c r="F54" i="3"/>
  <c r="F52" i="3"/>
  <c r="F53" i="3" s="1"/>
  <c r="F85" i="1" s="1"/>
  <c r="F48" i="3"/>
  <c r="F49" i="3" s="1"/>
  <c r="F79" i="1" s="1"/>
  <c r="C8" i="7" s="1"/>
  <c r="C10" i="7" s="1"/>
  <c r="F45" i="3"/>
  <c r="F32" i="3"/>
  <c r="F27" i="3"/>
  <c r="F26" i="3"/>
  <c r="F25" i="3"/>
  <c r="F24" i="3"/>
  <c r="E270" i="3"/>
  <c r="E268" i="3"/>
  <c r="E6" i="3"/>
  <c r="E5" i="3"/>
  <c r="F19" i="3" s="1"/>
  <c r="E4" i="3"/>
  <c r="L18" i="6"/>
  <c r="L17" i="6"/>
  <c r="E14" i="6"/>
  <c r="D26" i="6"/>
  <c r="D4" i="7"/>
  <c r="C4" i="7"/>
  <c r="AN44" i="1"/>
  <c r="G72" i="1"/>
  <c r="F138" i="1"/>
  <c r="F135" i="1"/>
  <c r="F134" i="1"/>
  <c r="F133" i="1"/>
  <c r="F132" i="1"/>
  <c r="F130" i="1"/>
  <c r="F127" i="1"/>
  <c r="F4" i="7"/>
  <c r="N18" i="6"/>
  <c r="N17" i="6"/>
  <c r="D2" i="13"/>
  <c r="M17" i="6" l="1"/>
  <c r="M18" i="6"/>
  <c r="E35" i="14"/>
  <c r="E32" i="14"/>
  <c r="F35" i="14" s="1"/>
  <c r="C11" i="7"/>
  <c r="C12" i="7"/>
  <c r="C13" i="7" s="1"/>
  <c r="E4" i="7"/>
  <c r="F34" i="7" s="1"/>
  <c r="F33" i="7" s="1"/>
  <c r="D34" i="7"/>
  <c r="D33" i="7" s="1"/>
  <c r="C14" i="7"/>
  <c r="C34" i="7"/>
  <c r="C33" i="7" s="1"/>
  <c r="F64" i="1"/>
  <c r="S244" i="3"/>
  <c r="T245" i="3"/>
  <c r="U246" i="3"/>
  <c r="S248" i="3"/>
  <c r="T249" i="3"/>
  <c r="U250" i="3"/>
  <c r="S252" i="3"/>
  <c r="T253" i="3"/>
  <c r="U254" i="3"/>
  <c r="S256" i="3"/>
  <c r="T257" i="3"/>
  <c r="U258" i="3"/>
  <c r="S260" i="3"/>
  <c r="T261" i="3"/>
  <c r="U262" i="3"/>
  <c r="U253" i="3"/>
  <c r="T256" i="3"/>
  <c r="S259" i="3"/>
  <c r="T260" i="3"/>
  <c r="S263" i="3"/>
  <c r="U244" i="3"/>
  <c r="S246" i="3"/>
  <c r="U248" i="3"/>
  <c r="S250" i="3"/>
  <c r="U252" i="3"/>
  <c r="S254" i="3"/>
  <c r="U256" i="3"/>
  <c r="T259" i="3"/>
  <c r="U260" i="3"/>
  <c r="T263" i="3"/>
  <c r="S245" i="3"/>
  <c r="U247" i="3"/>
  <c r="S249" i="3"/>
  <c r="U251" i="3"/>
  <c r="S253" i="3"/>
  <c r="U255" i="3"/>
  <c r="S257" i="3"/>
  <c r="U259" i="3"/>
  <c r="S261" i="3"/>
  <c r="U263" i="3"/>
  <c r="T244" i="3"/>
  <c r="U245" i="3"/>
  <c r="S247" i="3"/>
  <c r="T248" i="3"/>
  <c r="U249" i="3"/>
  <c r="S251" i="3"/>
  <c r="T252" i="3"/>
  <c r="S255" i="3"/>
  <c r="U257" i="3"/>
  <c r="U261" i="3"/>
  <c r="T247" i="3"/>
  <c r="T251" i="3"/>
  <c r="T255" i="3"/>
  <c r="S258" i="3"/>
  <c r="S262" i="3"/>
  <c r="T246" i="3"/>
  <c r="T250" i="3"/>
  <c r="T254" i="3"/>
  <c r="T258" i="3"/>
  <c r="T262" i="3"/>
  <c r="F101" i="1"/>
  <c r="K136" i="1"/>
  <c r="F126" i="1"/>
  <c r="F144" i="3"/>
  <c r="H42" i="14"/>
  <c r="C113" i="13"/>
  <c r="C87" i="13"/>
  <c r="C114" i="13"/>
  <c r="F125" i="1"/>
  <c r="G41" i="14"/>
  <c r="G42" i="14" s="1"/>
  <c r="C111" i="13"/>
  <c r="C112" i="13"/>
  <c r="F41" i="14"/>
  <c r="F42" i="14" s="1"/>
  <c r="C10" i="13"/>
  <c r="C22" i="13"/>
  <c r="C34" i="13"/>
  <c r="C50" i="13"/>
  <c r="C78" i="13"/>
  <c r="C82" i="13"/>
  <c r="C86" i="13"/>
  <c r="C98" i="13"/>
  <c r="I41" i="14"/>
  <c r="I42" i="14" s="1"/>
  <c r="C80" i="13"/>
  <c r="F121" i="3"/>
  <c r="F120" i="3" s="1"/>
  <c r="F102" i="1" s="1"/>
  <c r="F98" i="3"/>
  <c r="F94" i="1" s="1"/>
  <c r="K135" i="1" s="1"/>
  <c r="F55" i="3"/>
  <c r="F57" i="3" s="1"/>
  <c r="F99" i="3"/>
  <c r="F102" i="3"/>
  <c r="E112" i="1"/>
  <c r="K139" i="1" s="1"/>
  <c r="E111" i="1"/>
  <c r="K138" i="1" s="1"/>
  <c r="D114" i="1"/>
  <c r="E114" i="1"/>
  <c r="K141" i="1" s="1"/>
  <c r="F114" i="1"/>
  <c r="D112" i="1"/>
  <c r="E113" i="1"/>
  <c r="K140" i="1" s="1"/>
  <c r="F113" i="1"/>
  <c r="D113" i="1"/>
  <c r="D111" i="1"/>
  <c r="F100" i="3"/>
  <c r="Q17" i="6"/>
  <c r="F9" i="3"/>
  <c r="F39" i="1" s="1"/>
  <c r="AO54" i="1"/>
  <c r="F97" i="3"/>
  <c r="F101" i="3"/>
  <c r="F95" i="1" s="1"/>
  <c r="K137"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H27" i="3" l="1"/>
  <c r="H25" i="7"/>
  <c r="E36" i="14"/>
  <c r="E37" i="14"/>
  <c r="C15" i="7"/>
  <c r="C19" i="7" s="1"/>
  <c r="C18" i="7" s="1"/>
  <c r="C20" i="7" s="1"/>
  <c r="C22" i="7" s="1"/>
  <c r="E34" i="7"/>
  <c r="E33" i="7" s="1"/>
  <c r="J25" i="14"/>
  <c r="C25" i="7"/>
  <c r="H26" i="3"/>
  <c r="H24" i="3"/>
  <c r="H25" i="3"/>
  <c r="E23" i="14"/>
  <c r="K25" i="14"/>
  <c r="J24" i="14"/>
  <c r="F87" i="1"/>
  <c r="F56" i="3"/>
  <c r="P97" i="13" s="1"/>
  <c r="K24" i="14"/>
  <c r="F103" i="1"/>
  <c r="F40" i="14"/>
  <c r="F39" i="14"/>
  <c r="G36" i="14"/>
  <c r="H35" i="14"/>
  <c r="G37" i="14"/>
  <c r="F12" i="3"/>
  <c r="F20" i="3" s="1"/>
  <c r="K133" i="1" s="1"/>
  <c r="F10" i="3"/>
  <c r="F42" i="1" s="1"/>
  <c r="E19" i="14" l="1"/>
  <c r="H27" i="7"/>
  <c r="E39" i="14"/>
  <c r="E40" i="14"/>
  <c r="C26" i="7"/>
  <c r="L24" i="14"/>
  <c r="L25" i="14"/>
  <c r="F29" i="3"/>
  <c r="F65" i="1" s="1"/>
  <c r="F33" i="3"/>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20"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11" i="3"/>
  <c r="F43" i="1" s="1"/>
  <c r="G40" i="14"/>
  <c r="G39" i="14"/>
  <c r="O202" i="3"/>
  <c r="I35" i="14"/>
  <c r="H36" i="14"/>
  <c r="H37" i="14"/>
  <c r="I2" i="13"/>
  <c r="F15" i="3"/>
  <c r="E269" i="3"/>
  <c r="F46" i="1"/>
  <c r="F14" i="3"/>
  <c r="F31" i="3"/>
  <c r="F67" i="1" s="1"/>
  <c r="F13" i="3"/>
  <c r="F44" i="14"/>
  <c r="E44" i="14" l="1"/>
  <c r="M24" i="14"/>
  <c r="M25" i="14"/>
  <c r="O205" i="3"/>
  <c r="O203" i="3"/>
  <c r="O204" i="3"/>
  <c r="O206" i="3"/>
  <c r="Q6" i="13"/>
  <c r="Q5" i="13"/>
  <c r="O192" i="3"/>
  <c r="O197" i="3"/>
  <c r="O188" i="3"/>
  <c r="F70" i="3"/>
  <c r="F71" i="3" s="1"/>
  <c r="F93" i="1" s="1"/>
  <c r="X184" i="3"/>
  <c r="F171" i="3"/>
  <c r="F48" i="1"/>
  <c r="H40" i="14"/>
  <c r="H39" i="14"/>
  <c r="F172" i="3"/>
  <c r="F16" i="3"/>
  <c r="F50" i="1" s="1"/>
  <c r="F49" i="1"/>
  <c r="AN54" i="1"/>
  <c r="F170" i="3"/>
  <c r="F47" i="1"/>
  <c r="G44" i="14"/>
  <c r="F38" i="3"/>
  <c r="F50" i="3" s="1"/>
  <c r="F80" i="1" s="1"/>
  <c r="F69" i="1"/>
  <c r="J35" i="14"/>
  <c r="I37" i="14"/>
  <c r="I36" i="14"/>
  <c r="K131" i="1" l="1"/>
  <c r="B2" i="13"/>
  <c r="D107" i="13" s="1"/>
  <c r="K132" i="1"/>
  <c r="V222" i="3"/>
  <c r="V256" i="3"/>
  <c r="V261" i="3"/>
  <c r="V263" i="3"/>
  <c r="V202" i="3"/>
  <c r="V204" i="3"/>
  <c r="V206" i="3"/>
  <c r="V208" i="3"/>
  <c r="V210" i="3"/>
  <c r="V212" i="3"/>
  <c r="V214" i="3"/>
  <c r="V216" i="3"/>
  <c r="V218" i="3"/>
  <c r="V225" i="3"/>
  <c r="V227" i="3"/>
  <c r="V229" i="3"/>
  <c r="V231" i="3"/>
  <c r="V233" i="3"/>
  <c r="V235" i="3"/>
  <c r="V237" i="3"/>
  <c r="V239" i="3"/>
  <c r="V220" i="3"/>
  <c r="V221" i="3"/>
  <c r="V223" i="3"/>
  <c r="V224" i="3"/>
  <c r="V241" i="3"/>
  <c r="V242" i="3"/>
  <c r="V243" i="3"/>
  <c r="V244" i="3"/>
  <c r="V245" i="3"/>
  <c r="V246" i="3"/>
  <c r="V247" i="3"/>
  <c r="V248" i="3"/>
  <c r="V249" i="3"/>
  <c r="V250" i="3"/>
  <c r="V251" i="3"/>
  <c r="V252" i="3"/>
  <c r="V253" i="3"/>
  <c r="V254" i="3"/>
  <c r="V255" i="3"/>
  <c r="V257" i="3"/>
  <c r="V258" i="3"/>
  <c r="V259" i="3"/>
  <c r="V260" i="3"/>
  <c r="V262" i="3"/>
  <c r="V201" i="3"/>
  <c r="V203" i="3"/>
  <c r="V205" i="3"/>
  <c r="V207" i="3"/>
  <c r="V209" i="3"/>
  <c r="V211" i="3"/>
  <c r="V213" i="3"/>
  <c r="V215" i="3"/>
  <c r="V217" i="3"/>
  <c r="V219" i="3"/>
  <c r="V226" i="3"/>
  <c r="V228" i="3"/>
  <c r="V230" i="3"/>
  <c r="V232" i="3"/>
  <c r="V234" i="3"/>
  <c r="V236" i="3"/>
  <c r="V238" i="3"/>
  <c r="V240" i="3"/>
  <c r="K35" i="14"/>
  <c r="J36" i="14"/>
  <c r="J37" i="14"/>
  <c r="C2" i="13"/>
  <c r="I39" i="14"/>
  <c r="I40" i="14"/>
  <c r="F39" i="3"/>
  <c r="F176" i="3" s="1"/>
  <c r="F175" i="3"/>
  <c r="F37" i="3"/>
  <c r="F174" i="3" s="1"/>
  <c r="H44" i="14"/>
  <c r="V198" i="3"/>
  <c r="V194" i="3"/>
  <c r="V190" i="3"/>
  <c r="V186" i="3"/>
  <c r="V197" i="3"/>
  <c r="V185" i="3"/>
  <c r="V199" i="3"/>
  <c r="V195" i="3"/>
  <c r="V191" i="3"/>
  <c r="V187" i="3"/>
  <c r="V193" i="3"/>
  <c r="V189" i="3"/>
  <c r="V192" i="3"/>
  <c r="V188" i="3"/>
  <c r="V200" i="3"/>
  <c r="V196" i="3"/>
  <c r="V184" i="3"/>
  <c r="O198" i="3"/>
  <c r="O194" i="3"/>
  <c r="O193" i="3"/>
  <c r="O199" i="3"/>
  <c r="O195" i="3"/>
  <c r="O201" i="3"/>
  <c r="O200" i="3"/>
  <c r="O196" i="3"/>
  <c r="O190" i="3"/>
  <c r="O191" i="3"/>
  <c r="O189"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03" i="3"/>
  <c r="F206" i="3"/>
  <c r="F211" i="3"/>
  <c r="F214" i="3"/>
  <c r="F219" i="3"/>
  <c r="F222" i="3"/>
  <c r="F227" i="3"/>
  <c r="F230" i="3"/>
  <c r="F235" i="3"/>
  <c r="F238" i="3"/>
  <c r="F243" i="3"/>
  <c r="F249" i="3"/>
  <c r="F252" i="3"/>
  <c r="F257" i="3"/>
  <c r="F260" i="3"/>
  <c r="F201" i="3"/>
  <c r="F204" i="3"/>
  <c r="F209" i="3"/>
  <c r="F212" i="3"/>
  <c r="F217" i="3"/>
  <c r="F220" i="3"/>
  <c r="F225" i="3"/>
  <c r="F228" i="3"/>
  <c r="F233" i="3"/>
  <c r="F236" i="3"/>
  <c r="F241" i="3"/>
  <c r="F244" i="3"/>
  <c r="F247" i="3"/>
  <c r="F250" i="3"/>
  <c r="F255" i="3"/>
  <c r="F258" i="3"/>
  <c r="F263" i="3"/>
  <c r="F210" i="3"/>
  <c r="F215" i="3"/>
  <c r="F226" i="3"/>
  <c r="F231" i="3"/>
  <c r="F242" i="3"/>
  <c r="F248" i="3"/>
  <c r="F253" i="3"/>
  <c r="F207" i="3"/>
  <c r="F223" i="3"/>
  <c r="F234" i="3"/>
  <c r="F245" i="3"/>
  <c r="F256" i="3"/>
  <c r="F205" i="3"/>
  <c r="F216" i="3"/>
  <c r="F221" i="3"/>
  <c r="F232" i="3"/>
  <c r="F237" i="3"/>
  <c r="F254" i="3"/>
  <c r="F259" i="3"/>
  <c r="F202" i="3"/>
  <c r="F218" i="3"/>
  <c r="F239" i="3"/>
  <c r="F261" i="3"/>
  <c r="F208" i="3"/>
  <c r="F229" i="3"/>
  <c r="F251" i="3"/>
  <c r="F246" i="3"/>
  <c r="F213" i="3"/>
  <c r="F240" i="3"/>
  <c r="F262" i="3"/>
  <c r="F224" i="3"/>
  <c r="E10" i="13"/>
  <c r="M10" i="13" s="1"/>
  <c r="F200" i="3"/>
  <c r="F196" i="3"/>
  <c r="F192" i="3"/>
  <c r="F188" i="3"/>
  <c r="F184" i="3"/>
  <c r="F195" i="3"/>
  <c r="F197" i="3"/>
  <c r="F193" i="3"/>
  <c r="F189" i="3"/>
  <c r="F185" i="3"/>
  <c r="F199" i="3"/>
  <c r="F191" i="3"/>
  <c r="F187" i="3"/>
  <c r="F194" i="3"/>
  <c r="F190" i="3"/>
  <c r="F198" i="3"/>
  <c r="F186" i="3"/>
  <c r="G24" i="13"/>
  <c r="J39" i="14"/>
  <c r="J40" i="14"/>
  <c r="I44" i="14"/>
  <c r="E112" i="13"/>
  <c r="E111" i="13"/>
  <c r="E114" i="13"/>
  <c r="E113" i="13"/>
  <c r="E107" i="13"/>
  <c r="L35" i="14"/>
  <c r="K37" i="14"/>
  <c r="K36" i="14"/>
  <c r="G30" i="13" l="1"/>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13" i="3"/>
  <c r="L213" i="3" s="1"/>
  <c r="U213" i="3" s="1"/>
  <c r="K213" i="3"/>
  <c r="T213" i="3" s="1"/>
  <c r="B213" i="3"/>
  <c r="E213" i="3"/>
  <c r="J213" i="3" s="1"/>
  <c r="S213" i="3" s="1"/>
  <c r="B208" i="3"/>
  <c r="G208" i="3"/>
  <c r="L208" i="3" s="1"/>
  <c r="U208" i="3" s="1"/>
  <c r="K208" i="3"/>
  <c r="T208" i="3" s="1"/>
  <c r="E208" i="3"/>
  <c r="J208" i="3" s="1"/>
  <c r="S208" i="3" s="1"/>
  <c r="K202" i="3"/>
  <c r="T202" i="3" s="1"/>
  <c r="E202" i="3"/>
  <c r="J202" i="3" s="1"/>
  <c r="S202" i="3" s="1"/>
  <c r="B202" i="3"/>
  <c r="G202" i="3"/>
  <c r="L202" i="3" s="1"/>
  <c r="U202" i="3" s="1"/>
  <c r="B232" i="3"/>
  <c r="G232" i="3"/>
  <c r="L232" i="3" s="1"/>
  <c r="U232" i="3" s="1"/>
  <c r="K232" i="3"/>
  <c r="T232" i="3" s="1"/>
  <c r="E232" i="3"/>
  <c r="J232" i="3" s="1"/>
  <c r="S232" i="3" s="1"/>
  <c r="E256" i="3"/>
  <c r="J256" i="3" s="1"/>
  <c r="K256" i="3"/>
  <c r="G256" i="3"/>
  <c r="L256" i="3" s="1"/>
  <c r="B256" i="3"/>
  <c r="G207" i="3"/>
  <c r="L207" i="3" s="1"/>
  <c r="U207" i="3" s="1"/>
  <c r="K207" i="3"/>
  <c r="T207" i="3" s="1"/>
  <c r="E207" i="3"/>
  <c r="J207" i="3" s="1"/>
  <c r="S207" i="3" s="1"/>
  <c r="B207" i="3"/>
  <c r="G231" i="3"/>
  <c r="L231" i="3" s="1"/>
  <c r="U231" i="3" s="1"/>
  <c r="B231" i="3"/>
  <c r="K231" i="3"/>
  <c r="T231" i="3" s="1"/>
  <c r="E231" i="3"/>
  <c r="J231" i="3" s="1"/>
  <c r="S231" i="3" s="1"/>
  <c r="G263" i="3"/>
  <c r="L263" i="3" s="1"/>
  <c r="B263" i="3"/>
  <c r="K263" i="3"/>
  <c r="E263" i="3"/>
  <c r="J263" i="3" s="1"/>
  <c r="G247" i="3"/>
  <c r="L247" i="3" s="1"/>
  <c r="B247" i="3"/>
  <c r="K247" i="3"/>
  <c r="E247" i="3"/>
  <c r="J247" i="3" s="1"/>
  <c r="G233" i="3"/>
  <c r="L233" i="3" s="1"/>
  <c r="U233" i="3" s="1"/>
  <c r="K233" i="3"/>
  <c r="T233" i="3" s="1"/>
  <c r="B233" i="3"/>
  <c r="E233" i="3"/>
  <c r="J233" i="3" s="1"/>
  <c r="S233" i="3" s="1"/>
  <c r="G217" i="3"/>
  <c r="L217" i="3" s="1"/>
  <c r="U217" i="3" s="1"/>
  <c r="K217" i="3"/>
  <c r="T217" i="3" s="1"/>
  <c r="B217" i="3"/>
  <c r="E217" i="3"/>
  <c r="J217" i="3" s="1"/>
  <c r="S217" i="3" s="1"/>
  <c r="G201" i="3"/>
  <c r="L201" i="3" s="1"/>
  <c r="U201" i="3" s="1"/>
  <c r="K201" i="3"/>
  <c r="T201" i="3" s="1"/>
  <c r="B201" i="3"/>
  <c r="E201" i="3"/>
  <c r="J201" i="3" s="1"/>
  <c r="S201" i="3" s="1"/>
  <c r="G249" i="3"/>
  <c r="L249" i="3" s="1"/>
  <c r="K249" i="3"/>
  <c r="B249" i="3"/>
  <c r="E249" i="3"/>
  <c r="J249" i="3" s="1"/>
  <c r="K230" i="3"/>
  <c r="T230" i="3" s="1"/>
  <c r="B230" i="3"/>
  <c r="G230" i="3"/>
  <c r="L230" i="3" s="1"/>
  <c r="U230" i="3" s="1"/>
  <c r="E230" i="3"/>
  <c r="J230" i="3" s="1"/>
  <c r="S230" i="3" s="1"/>
  <c r="K214" i="3"/>
  <c r="T214" i="3" s="1"/>
  <c r="B214" i="3"/>
  <c r="G214" i="3"/>
  <c r="L214" i="3" s="1"/>
  <c r="U214" i="3" s="1"/>
  <c r="E214" i="3"/>
  <c r="J214" i="3" s="1"/>
  <c r="S214" i="3" s="1"/>
  <c r="B224" i="3"/>
  <c r="G224" i="3"/>
  <c r="L224" i="3" s="1"/>
  <c r="U224" i="3" s="1"/>
  <c r="E224" i="3"/>
  <c r="J224" i="3" s="1"/>
  <c r="S224" i="3" s="1"/>
  <c r="K224" i="3"/>
  <c r="T224" i="3" s="1"/>
  <c r="K246" i="3"/>
  <c r="G246" i="3"/>
  <c r="L246" i="3" s="1"/>
  <c r="B246" i="3"/>
  <c r="E246" i="3"/>
  <c r="J246" i="3" s="1"/>
  <c r="G261" i="3"/>
  <c r="L261" i="3" s="1"/>
  <c r="K261" i="3"/>
  <c r="B261" i="3"/>
  <c r="E261" i="3"/>
  <c r="J261" i="3" s="1"/>
  <c r="G259" i="3"/>
  <c r="L259" i="3" s="1"/>
  <c r="B259" i="3"/>
  <c r="E259" i="3"/>
  <c r="J259" i="3" s="1"/>
  <c r="K259" i="3"/>
  <c r="G221" i="3"/>
  <c r="L221" i="3" s="1"/>
  <c r="U221" i="3" s="1"/>
  <c r="K221" i="3"/>
  <c r="T221" i="3" s="1"/>
  <c r="B221" i="3"/>
  <c r="E221" i="3"/>
  <c r="J221" i="3" s="1"/>
  <c r="S221" i="3" s="1"/>
  <c r="G245" i="3"/>
  <c r="L245" i="3" s="1"/>
  <c r="K245" i="3"/>
  <c r="B245" i="3"/>
  <c r="E245" i="3"/>
  <c r="J245" i="3" s="1"/>
  <c r="G253" i="3"/>
  <c r="L253" i="3" s="1"/>
  <c r="K253" i="3"/>
  <c r="B253" i="3"/>
  <c r="E253" i="3"/>
  <c r="J253" i="3" s="1"/>
  <c r="K226" i="3"/>
  <c r="T226" i="3" s="1"/>
  <c r="B226" i="3"/>
  <c r="G226" i="3"/>
  <c r="L226" i="3" s="1"/>
  <c r="U226" i="3" s="1"/>
  <c r="E226" i="3"/>
  <c r="J226" i="3" s="1"/>
  <c r="S226" i="3" s="1"/>
  <c r="K258" i="3"/>
  <c r="B258" i="3"/>
  <c r="G258" i="3"/>
  <c r="L258" i="3" s="1"/>
  <c r="E258" i="3"/>
  <c r="J258" i="3" s="1"/>
  <c r="E244" i="3"/>
  <c r="J244" i="3" s="1"/>
  <c r="K244" i="3"/>
  <c r="B244" i="3"/>
  <c r="G244" i="3"/>
  <c r="L244" i="3" s="1"/>
  <c r="B228" i="3"/>
  <c r="K228" i="3"/>
  <c r="T228" i="3" s="1"/>
  <c r="E228" i="3"/>
  <c r="J228" i="3" s="1"/>
  <c r="S228" i="3" s="1"/>
  <c r="G228" i="3"/>
  <c r="L228" i="3" s="1"/>
  <c r="U228" i="3" s="1"/>
  <c r="B212" i="3"/>
  <c r="K212" i="3"/>
  <c r="T212" i="3" s="1"/>
  <c r="E212" i="3"/>
  <c r="J212" i="3" s="1"/>
  <c r="S212" i="3" s="1"/>
  <c r="G212" i="3"/>
  <c r="L212" i="3" s="1"/>
  <c r="U212" i="3" s="1"/>
  <c r="E260" i="3"/>
  <c r="J260" i="3" s="1"/>
  <c r="G260" i="3"/>
  <c r="L260" i="3" s="1"/>
  <c r="K260" i="3"/>
  <c r="B260" i="3"/>
  <c r="G243" i="3"/>
  <c r="L243" i="3" s="1"/>
  <c r="U243" i="3" s="1"/>
  <c r="B243" i="3"/>
  <c r="E243" i="3"/>
  <c r="J243" i="3" s="1"/>
  <c r="S243" i="3" s="1"/>
  <c r="K243" i="3"/>
  <c r="T243" i="3" s="1"/>
  <c r="G227" i="3"/>
  <c r="L227" i="3" s="1"/>
  <c r="U227" i="3" s="1"/>
  <c r="B227" i="3"/>
  <c r="K227" i="3"/>
  <c r="T227" i="3" s="1"/>
  <c r="E227" i="3"/>
  <c r="J227" i="3" s="1"/>
  <c r="S227" i="3" s="1"/>
  <c r="G211" i="3"/>
  <c r="L211" i="3" s="1"/>
  <c r="U211" i="3" s="1"/>
  <c r="E211" i="3"/>
  <c r="J211" i="3" s="1"/>
  <c r="S211" i="3" s="1"/>
  <c r="B211" i="3"/>
  <c r="K211" i="3"/>
  <c r="T211" i="3" s="1"/>
  <c r="K262" i="3"/>
  <c r="G262" i="3"/>
  <c r="L262" i="3" s="1"/>
  <c r="B262" i="3"/>
  <c r="E262" i="3"/>
  <c r="J262" i="3" s="1"/>
  <c r="G251" i="3"/>
  <c r="L251" i="3" s="1"/>
  <c r="B251" i="3"/>
  <c r="K251" i="3"/>
  <c r="E251" i="3"/>
  <c r="J251" i="3" s="1"/>
  <c r="G239" i="3"/>
  <c r="L239" i="3" s="1"/>
  <c r="U239" i="3" s="1"/>
  <c r="E239" i="3"/>
  <c r="J239" i="3" s="1"/>
  <c r="S239" i="3" s="1"/>
  <c r="K239" i="3"/>
  <c r="T239" i="3" s="1"/>
  <c r="B239" i="3"/>
  <c r="K254" i="3"/>
  <c r="G254" i="3"/>
  <c r="L254" i="3" s="1"/>
  <c r="B254" i="3"/>
  <c r="E254" i="3"/>
  <c r="J254" i="3" s="1"/>
  <c r="B216" i="3"/>
  <c r="G216" i="3"/>
  <c r="L216" i="3" s="1"/>
  <c r="U216" i="3" s="1"/>
  <c r="K216" i="3"/>
  <c r="T216" i="3" s="1"/>
  <c r="E216" i="3"/>
  <c r="J216" i="3" s="1"/>
  <c r="S216" i="3" s="1"/>
  <c r="K234" i="3"/>
  <c r="T234" i="3" s="1"/>
  <c r="E234" i="3"/>
  <c r="J234" i="3" s="1"/>
  <c r="S234" i="3" s="1"/>
  <c r="B234" i="3"/>
  <c r="G234" i="3"/>
  <c r="L234" i="3" s="1"/>
  <c r="U234" i="3" s="1"/>
  <c r="E248" i="3"/>
  <c r="J248" i="3" s="1"/>
  <c r="G248" i="3"/>
  <c r="L248" i="3" s="1"/>
  <c r="K248" i="3"/>
  <c r="B248" i="3"/>
  <c r="G215" i="3"/>
  <c r="L215" i="3" s="1"/>
  <c r="U215" i="3" s="1"/>
  <c r="B215" i="3"/>
  <c r="E215" i="3"/>
  <c r="J215" i="3" s="1"/>
  <c r="S215" i="3" s="1"/>
  <c r="K215" i="3"/>
  <c r="T215" i="3" s="1"/>
  <c r="G255" i="3"/>
  <c r="L255" i="3" s="1"/>
  <c r="K255" i="3"/>
  <c r="B255" i="3"/>
  <c r="E255" i="3"/>
  <c r="J255" i="3" s="1"/>
  <c r="G241" i="3"/>
  <c r="L241" i="3" s="1"/>
  <c r="U241" i="3" s="1"/>
  <c r="B241" i="3"/>
  <c r="K241" i="3"/>
  <c r="T241" i="3" s="1"/>
  <c r="E241" i="3"/>
  <c r="J241" i="3" s="1"/>
  <c r="S241" i="3" s="1"/>
  <c r="G225" i="3"/>
  <c r="L225" i="3" s="1"/>
  <c r="U225" i="3" s="1"/>
  <c r="B225" i="3"/>
  <c r="K225" i="3"/>
  <c r="T225" i="3" s="1"/>
  <c r="E225" i="3"/>
  <c r="J225" i="3" s="1"/>
  <c r="S225" i="3" s="1"/>
  <c r="G209" i="3"/>
  <c r="L209" i="3" s="1"/>
  <c r="U209" i="3" s="1"/>
  <c r="B209" i="3"/>
  <c r="K209" i="3"/>
  <c r="T209" i="3" s="1"/>
  <c r="E209" i="3"/>
  <c r="J209" i="3" s="1"/>
  <c r="S209" i="3" s="1"/>
  <c r="G257" i="3"/>
  <c r="L257" i="3" s="1"/>
  <c r="B257" i="3"/>
  <c r="K257" i="3"/>
  <c r="E257" i="3"/>
  <c r="J257" i="3" s="1"/>
  <c r="K238" i="3"/>
  <c r="T238" i="3" s="1"/>
  <c r="G238" i="3"/>
  <c r="L238" i="3" s="1"/>
  <c r="U238" i="3" s="1"/>
  <c r="B238" i="3"/>
  <c r="E238" i="3"/>
  <c r="J238" i="3" s="1"/>
  <c r="S238" i="3" s="1"/>
  <c r="K222" i="3"/>
  <c r="T222" i="3" s="1"/>
  <c r="G222" i="3"/>
  <c r="L222" i="3" s="1"/>
  <c r="U222" i="3" s="1"/>
  <c r="B222" i="3"/>
  <c r="E222" i="3"/>
  <c r="J222" i="3" s="1"/>
  <c r="S222" i="3" s="1"/>
  <c r="K206" i="3"/>
  <c r="T206" i="3" s="1"/>
  <c r="G206" i="3"/>
  <c r="L206" i="3" s="1"/>
  <c r="U206" i="3" s="1"/>
  <c r="E206" i="3"/>
  <c r="J206" i="3" s="1"/>
  <c r="S206" i="3" s="1"/>
  <c r="B206" i="3"/>
  <c r="B240" i="3"/>
  <c r="G240" i="3"/>
  <c r="L240" i="3" s="1"/>
  <c r="U240" i="3" s="1"/>
  <c r="E240" i="3"/>
  <c r="J240" i="3" s="1"/>
  <c r="S240" i="3" s="1"/>
  <c r="K240" i="3"/>
  <c r="T240" i="3" s="1"/>
  <c r="G229" i="3"/>
  <c r="L229" i="3" s="1"/>
  <c r="U229" i="3" s="1"/>
  <c r="K229" i="3"/>
  <c r="T229" i="3" s="1"/>
  <c r="B229" i="3"/>
  <c r="E229" i="3"/>
  <c r="J229" i="3" s="1"/>
  <c r="S229" i="3" s="1"/>
  <c r="K218" i="3"/>
  <c r="T218" i="3" s="1"/>
  <c r="E218" i="3"/>
  <c r="J218" i="3" s="1"/>
  <c r="S218" i="3" s="1"/>
  <c r="B218" i="3"/>
  <c r="G218" i="3"/>
  <c r="L218" i="3" s="1"/>
  <c r="U218" i="3" s="1"/>
  <c r="G237" i="3"/>
  <c r="L237" i="3" s="1"/>
  <c r="U237" i="3" s="1"/>
  <c r="K237" i="3"/>
  <c r="T237" i="3" s="1"/>
  <c r="B237" i="3"/>
  <c r="E237" i="3"/>
  <c r="J237" i="3" s="1"/>
  <c r="S237" i="3" s="1"/>
  <c r="G205" i="3"/>
  <c r="L205" i="3" s="1"/>
  <c r="U205" i="3" s="1"/>
  <c r="K205" i="3"/>
  <c r="T205" i="3" s="1"/>
  <c r="B205" i="3"/>
  <c r="E205" i="3"/>
  <c r="J205" i="3" s="1"/>
  <c r="S205" i="3" s="1"/>
  <c r="G223" i="3"/>
  <c r="L223" i="3" s="1"/>
  <c r="U223" i="3" s="1"/>
  <c r="E223" i="3"/>
  <c r="J223" i="3" s="1"/>
  <c r="S223" i="3" s="1"/>
  <c r="K223" i="3"/>
  <c r="T223" i="3" s="1"/>
  <c r="B223" i="3"/>
  <c r="K242" i="3"/>
  <c r="T242" i="3" s="1"/>
  <c r="B242" i="3"/>
  <c r="G242" i="3"/>
  <c r="L242" i="3" s="1"/>
  <c r="U242" i="3" s="1"/>
  <c r="E242" i="3"/>
  <c r="J242" i="3" s="1"/>
  <c r="S242" i="3" s="1"/>
  <c r="K210" i="3"/>
  <c r="T210" i="3" s="1"/>
  <c r="E210" i="3"/>
  <c r="J210" i="3" s="1"/>
  <c r="S210" i="3" s="1"/>
  <c r="B210" i="3"/>
  <c r="G210" i="3"/>
  <c r="L210" i="3" s="1"/>
  <c r="U210" i="3" s="1"/>
  <c r="K250" i="3"/>
  <c r="G250" i="3"/>
  <c r="L250" i="3" s="1"/>
  <c r="E250" i="3"/>
  <c r="J250" i="3" s="1"/>
  <c r="B250" i="3"/>
  <c r="B236" i="3"/>
  <c r="K236" i="3"/>
  <c r="T236" i="3" s="1"/>
  <c r="G236" i="3"/>
  <c r="L236" i="3" s="1"/>
  <c r="U236" i="3" s="1"/>
  <c r="E236" i="3"/>
  <c r="J236" i="3" s="1"/>
  <c r="S236" i="3" s="1"/>
  <c r="B220" i="3"/>
  <c r="K220" i="3"/>
  <c r="T220" i="3" s="1"/>
  <c r="G220" i="3"/>
  <c r="L220" i="3" s="1"/>
  <c r="U220" i="3" s="1"/>
  <c r="E220" i="3"/>
  <c r="J220" i="3" s="1"/>
  <c r="S220" i="3" s="1"/>
  <c r="B204" i="3"/>
  <c r="E204" i="3"/>
  <c r="J204" i="3" s="1"/>
  <c r="S204" i="3" s="1"/>
  <c r="K204" i="3"/>
  <c r="T204" i="3" s="1"/>
  <c r="G204" i="3"/>
  <c r="L204" i="3" s="1"/>
  <c r="U204" i="3" s="1"/>
  <c r="E252" i="3"/>
  <c r="J252" i="3" s="1"/>
  <c r="G252" i="3"/>
  <c r="L252" i="3" s="1"/>
  <c r="K252" i="3"/>
  <c r="B252" i="3"/>
  <c r="G235" i="3"/>
  <c r="L235" i="3" s="1"/>
  <c r="U235" i="3" s="1"/>
  <c r="B235" i="3"/>
  <c r="E235" i="3"/>
  <c r="J235" i="3" s="1"/>
  <c r="S235" i="3" s="1"/>
  <c r="K235" i="3"/>
  <c r="T235" i="3" s="1"/>
  <c r="G219" i="3"/>
  <c r="L219" i="3" s="1"/>
  <c r="U219" i="3" s="1"/>
  <c r="B219" i="3"/>
  <c r="E219" i="3"/>
  <c r="J219" i="3" s="1"/>
  <c r="S219" i="3" s="1"/>
  <c r="K219" i="3"/>
  <c r="T219" i="3" s="1"/>
  <c r="G203" i="3"/>
  <c r="L203" i="3" s="1"/>
  <c r="U203" i="3" s="1"/>
  <c r="B203" i="3"/>
  <c r="E203" i="3"/>
  <c r="J203" i="3" s="1"/>
  <c r="S203" i="3" s="1"/>
  <c r="K203" i="3"/>
  <c r="T203" i="3" s="1"/>
  <c r="M35" i="14"/>
  <c r="L36" i="14"/>
  <c r="L37" i="14"/>
  <c r="M76" i="13"/>
  <c r="G76" i="13"/>
  <c r="M52" i="13"/>
  <c r="G52" i="13"/>
  <c r="M87" i="13"/>
  <c r="G87" i="13"/>
  <c r="M48" i="13"/>
  <c r="G48" i="13"/>
  <c r="M63" i="13"/>
  <c r="G63" i="13"/>
  <c r="M69" i="13"/>
  <c r="G69" i="13"/>
  <c r="M78" i="13"/>
  <c r="G78" i="13"/>
  <c r="M66" i="13"/>
  <c r="G66" i="13"/>
  <c r="M102" i="13"/>
  <c r="G102" i="13"/>
  <c r="M77" i="13"/>
  <c r="G77" i="13"/>
  <c r="B185" i="3"/>
  <c r="K185" i="3"/>
  <c r="T185" i="3" s="1"/>
  <c r="E185" i="3"/>
  <c r="J185" i="3" s="1"/>
  <c r="S185" i="3" s="1"/>
  <c r="G185" i="3"/>
  <c r="L185" i="3" s="1"/>
  <c r="U185" i="3" s="1"/>
  <c r="K196" i="3"/>
  <c r="T196" i="3" s="1"/>
  <c r="G196" i="3"/>
  <c r="L196" i="3" s="1"/>
  <c r="U196" i="3" s="1"/>
  <c r="E196" i="3"/>
  <c r="J196" i="3" s="1"/>
  <c r="S196" i="3" s="1"/>
  <c r="B196" i="3"/>
  <c r="O10" i="13"/>
  <c r="M105" i="13"/>
  <c r="G105" i="13"/>
  <c r="M75" i="13"/>
  <c r="G75" i="13"/>
  <c r="M89" i="13"/>
  <c r="G89" i="13"/>
  <c r="M92" i="13"/>
  <c r="G92" i="13"/>
  <c r="M60" i="13"/>
  <c r="G60" i="13"/>
  <c r="M79" i="13"/>
  <c r="G79" i="13"/>
  <c r="M90" i="13"/>
  <c r="G90" i="13"/>
  <c r="M46" i="13"/>
  <c r="G46" i="13"/>
  <c r="M42" i="13"/>
  <c r="G42" i="13"/>
  <c r="M93" i="13"/>
  <c r="G93" i="13"/>
  <c r="H26" i="13"/>
  <c r="E186" i="3"/>
  <c r="J186" i="3" s="1"/>
  <c r="S186" i="3" s="1"/>
  <c r="B186" i="3"/>
  <c r="G186" i="3"/>
  <c r="L186" i="3" s="1"/>
  <c r="U186" i="3" s="1"/>
  <c r="K186" i="3"/>
  <c r="T186" i="3" s="1"/>
  <c r="G187" i="3"/>
  <c r="L187" i="3" s="1"/>
  <c r="U187" i="3" s="1"/>
  <c r="E187" i="3"/>
  <c r="J187" i="3" s="1"/>
  <c r="S187" i="3" s="1"/>
  <c r="K187" i="3"/>
  <c r="T187" i="3" s="1"/>
  <c r="B187" i="3"/>
  <c r="K184" i="3"/>
  <c r="T184" i="3" s="1"/>
  <c r="B184" i="3"/>
  <c r="G184" i="3"/>
  <c r="L184" i="3" s="1"/>
  <c r="U184" i="3" s="1"/>
  <c r="E184" i="3"/>
  <c r="J184" i="3" s="1"/>
  <c r="S184" i="3" s="1"/>
  <c r="K200" i="3"/>
  <c r="T200" i="3" s="1"/>
  <c r="B200" i="3"/>
  <c r="G200" i="3"/>
  <c r="L200" i="3" s="1"/>
  <c r="U200" i="3" s="1"/>
  <c r="E200" i="3"/>
  <c r="J200" i="3" s="1"/>
  <c r="S200"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198" i="3"/>
  <c r="G198" i="3"/>
  <c r="L198" i="3" s="1"/>
  <c r="U198" i="3" s="1"/>
  <c r="E198" i="3"/>
  <c r="J198" i="3" s="1"/>
  <c r="S198" i="3" s="1"/>
  <c r="K198" i="3"/>
  <c r="T198" i="3" s="1"/>
  <c r="G191" i="3"/>
  <c r="L191" i="3" s="1"/>
  <c r="U191" i="3" s="1"/>
  <c r="E191" i="3"/>
  <c r="J191" i="3" s="1"/>
  <c r="S191" i="3" s="1"/>
  <c r="K191" i="3"/>
  <c r="T191" i="3" s="1"/>
  <c r="B191" i="3"/>
  <c r="B193" i="3"/>
  <c r="K193" i="3"/>
  <c r="T193" i="3" s="1"/>
  <c r="E193" i="3"/>
  <c r="J193" i="3" s="1"/>
  <c r="S193" i="3" s="1"/>
  <c r="G193" i="3"/>
  <c r="L193" i="3" s="1"/>
  <c r="U193" i="3" s="1"/>
  <c r="K188" i="3"/>
  <c r="T188" i="3" s="1"/>
  <c r="G188" i="3"/>
  <c r="L188" i="3" s="1"/>
  <c r="U188" i="3" s="1"/>
  <c r="E188" i="3"/>
  <c r="J188" i="3" s="1"/>
  <c r="S188" i="3" s="1"/>
  <c r="B188" i="3"/>
  <c r="O29" i="13"/>
  <c r="H29" i="13"/>
  <c r="M39" i="13"/>
  <c r="G39" i="13"/>
  <c r="M53" i="13"/>
  <c r="G53" i="13"/>
  <c r="M110" i="13"/>
  <c r="G110" i="13"/>
  <c r="M88" i="13"/>
  <c r="G88" i="13"/>
  <c r="M41" i="13"/>
  <c r="G41" i="13"/>
  <c r="M99" i="13"/>
  <c r="G99" i="13"/>
  <c r="M40" i="13"/>
  <c r="G40" i="13"/>
  <c r="M113" i="13"/>
  <c r="G113" i="13"/>
  <c r="M91" i="13"/>
  <c r="G91" i="13"/>
  <c r="M82" i="13"/>
  <c r="G82" i="13"/>
  <c r="E194" i="3"/>
  <c r="J194" i="3" s="1"/>
  <c r="S194" i="3" s="1"/>
  <c r="B194" i="3"/>
  <c r="G194" i="3"/>
  <c r="L194" i="3" s="1"/>
  <c r="U194" i="3" s="1"/>
  <c r="K194" i="3"/>
  <c r="T194" i="3" s="1"/>
  <c r="G195" i="3"/>
  <c r="L195" i="3" s="1"/>
  <c r="U195" i="3" s="1"/>
  <c r="E195" i="3"/>
  <c r="J195" i="3" s="1"/>
  <c r="S195" i="3" s="1"/>
  <c r="K195" i="3"/>
  <c r="T195" i="3" s="1"/>
  <c r="B195" i="3"/>
  <c r="M104" i="13"/>
  <c r="G104" i="13"/>
  <c r="M95" i="13"/>
  <c r="G95" i="13"/>
  <c r="M36" i="13"/>
  <c r="G36" i="13"/>
  <c r="M67" i="13"/>
  <c r="G67" i="13"/>
  <c r="M32" i="13"/>
  <c r="G32" i="13"/>
  <c r="G47" i="13"/>
  <c r="M47" i="13"/>
  <c r="M37" i="13"/>
  <c r="G37" i="13"/>
  <c r="M65" i="13"/>
  <c r="G65" i="13"/>
  <c r="M107" i="13"/>
  <c r="G107" i="13"/>
  <c r="M50" i="13"/>
  <c r="G50" i="13"/>
  <c r="M109" i="13"/>
  <c r="G109" i="13"/>
  <c r="B189" i="3"/>
  <c r="K189" i="3"/>
  <c r="T189" i="3" s="1"/>
  <c r="G189" i="3"/>
  <c r="L189" i="3" s="1"/>
  <c r="U189" i="3" s="1"/>
  <c r="E189" i="3"/>
  <c r="J189" i="3" s="1"/>
  <c r="S189"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0" i="3"/>
  <c r="G190" i="3"/>
  <c r="L190" i="3" s="1"/>
  <c r="U190" i="3" s="1"/>
  <c r="E190" i="3"/>
  <c r="J190" i="3" s="1"/>
  <c r="S190" i="3" s="1"/>
  <c r="K190" i="3"/>
  <c r="T190" i="3" s="1"/>
  <c r="G199" i="3"/>
  <c r="L199" i="3" s="1"/>
  <c r="U199" i="3" s="1"/>
  <c r="E199" i="3"/>
  <c r="J199" i="3" s="1"/>
  <c r="S199" i="3" s="1"/>
  <c r="K199" i="3"/>
  <c r="T199" i="3" s="1"/>
  <c r="B199" i="3"/>
  <c r="B197" i="3"/>
  <c r="K197" i="3"/>
  <c r="T197" i="3" s="1"/>
  <c r="G197" i="3"/>
  <c r="L197" i="3" s="1"/>
  <c r="U197" i="3" s="1"/>
  <c r="E197" i="3"/>
  <c r="J197" i="3" s="1"/>
  <c r="S197" i="3" s="1"/>
  <c r="K192" i="3"/>
  <c r="T192" i="3" s="1"/>
  <c r="B192" i="3"/>
  <c r="G192" i="3"/>
  <c r="L192" i="3" s="1"/>
  <c r="U192" i="3" s="1"/>
  <c r="E192" i="3"/>
  <c r="J192" i="3" s="1"/>
  <c r="S192" i="3" s="1"/>
  <c r="H30" i="13" l="1"/>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I26" i="13"/>
  <c r="N26" i="13" s="1"/>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I30" i="13" l="1"/>
  <c r="N30" i="13" s="1"/>
  <c r="L11" i="13"/>
  <c r="L20" i="13"/>
  <c r="I15" i="13"/>
  <c r="N15" i="13" s="1"/>
  <c r="I16" i="13"/>
  <c r="N16" i="13" s="1"/>
  <c r="I28" i="13"/>
  <c r="N28" i="13" s="1"/>
  <c r="L14" i="13"/>
  <c r="I22" i="13"/>
  <c r="N22" i="13" s="1"/>
  <c r="I17" i="13"/>
  <c r="N17" i="13" s="1"/>
  <c r="Q4" i="13"/>
  <c r="F59"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5" i="1" s="1"/>
  <c r="K10" i="13"/>
  <c r="J11" i="13"/>
  <c r="O37" i="14"/>
  <c r="O36" i="14"/>
  <c r="P35" i="14"/>
  <c r="N5" i="13"/>
  <c r="F58" i="3" s="1"/>
  <c r="E22" i="14" s="1"/>
  <c r="N40" i="14"/>
  <c r="N39" i="14"/>
  <c r="E38" i="14" l="1"/>
  <c r="F60" i="3"/>
  <c r="H8" i="7" s="1"/>
  <c r="H10" i="7" s="1"/>
  <c r="O40" i="14"/>
  <c r="O39" i="14"/>
  <c r="K11" i="13"/>
  <c r="J12" i="13"/>
  <c r="N44" i="14"/>
  <c r="P37" i="14"/>
  <c r="P36" i="14"/>
  <c r="Q35" i="14"/>
  <c r="H11" i="7" l="1"/>
  <c r="H14" i="7" s="1"/>
  <c r="H12" i="7"/>
  <c r="H13" i="7" s="1"/>
  <c r="H15" i="7" s="1"/>
  <c r="O44" i="14"/>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H19" i="7" l="1"/>
  <c r="H18" i="7" s="1"/>
  <c r="H20" i="7" s="1"/>
  <c r="O45" i="14"/>
  <c r="O47" i="14"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H22" i="7" l="1"/>
  <c r="H28" i="7" s="1"/>
  <c r="O48" i="14"/>
  <c r="O50" i="14" s="1"/>
  <c r="O51" i="14" s="1"/>
  <c r="O52" i="14" s="1"/>
  <c r="O54" i="14" s="1"/>
  <c r="F61" i="3"/>
  <c r="F62" i="3" s="1"/>
  <c r="F88"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2" i="1" s="1"/>
  <c r="I29" i="14"/>
  <c r="J29" i="14" s="1"/>
  <c r="F83"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34" i="1" s="1"/>
  <c r="F44" i="3" l="1"/>
  <c r="F46" i="3" s="1"/>
  <c r="F74" i="1"/>
  <c r="F47" i="3" l="1"/>
  <c r="F77" i="1" s="1"/>
  <c r="F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bdemsc</author>
    <author>a0272042</author>
    <author>TI User</author>
    <author>Alex Triano</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8"/>
            <color indexed="81"/>
            <rFont val="Tahoma"/>
            <family val="2"/>
          </rPr>
          <t>Select either 26mV or 50mV current limit.
26mV will result in less power loss in the Rs resistor.</t>
        </r>
      </text>
    </comment>
    <comment ref="F40" authorId="2" shapeId="0" xr:uid="{00000000-0006-0000-0100-000005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1" authorId="0" shapeId="0" xr:uid="{00000000-0006-0000-0100-000006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2" authorId="2" shapeId="0" xr:uid="{00000000-0006-0000-0100-000007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7" authorId="2" shapeId="0" xr:uid="{00000000-0006-0000-0100-000008000000}">
      <text>
        <r>
          <rPr>
            <b/>
            <sz val="9"/>
            <color indexed="81"/>
            <rFont val="Tahoma"/>
            <family val="2"/>
          </rPr>
          <t xml:space="preserve">Ensure that the minimum current limit is above maximum load current. </t>
        </r>
      </text>
    </comment>
    <comment ref="F50" authorId="0" shapeId="0" xr:uid="{00000000-0006-0000-0100-000009000000}">
      <text>
        <r>
          <rPr>
            <b/>
            <sz val="8"/>
            <color indexed="81"/>
            <rFont val="Tahoma"/>
            <family val="2"/>
          </rPr>
          <t>The power dissipation is calculated using the maximum normal load current.
Ensure the selected resistor is rated for this power dissipation.</t>
        </r>
      </text>
    </comment>
    <comment ref="F54" authorId="2" shapeId="0" xr:uid="{00000000-0006-0000-0100-00000A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4" authorId="2" shapeId="0" xr:uid="{00000000-0006-0000-0100-00000B000000}">
      <text>
        <r>
          <rPr>
            <sz val="9"/>
            <color indexed="81"/>
            <rFont val="Tahoma"/>
            <family val="2"/>
          </rPr>
          <t xml:space="preserve">If FET temperature is too high, increase the # of FETs, reduce the load, or reduce the RθJA by adding more heat sinking to MOSFETs. 
</t>
        </r>
      </text>
    </comment>
    <comment ref="F66" authorId="2" shapeId="0" xr:uid="{00000000-0006-0000-0100-00000C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8" authorId="3" shapeId="0" xr:uid="{00000000-0006-0000-0100-00000D000000}">
      <text>
        <r>
          <rPr>
            <sz val="9"/>
            <color indexed="81"/>
            <rFont val="Tahoma"/>
            <family val="2"/>
          </rPr>
          <t xml:space="preserve">3 Parameters:
Step 1: Max Ambient Operating Temperature 
Step 3: Estimated MOSFET RQJA
Step 3: FET Power Dissipation at full load 
**This includes air flow
</t>
        </r>
      </text>
    </comment>
    <comment ref="F69" authorId="2" shapeId="0" xr:uid="{00000000-0006-0000-0100-00000E000000}">
      <text>
        <r>
          <rPr>
            <sz val="9"/>
            <color indexed="81"/>
            <rFont val="Tahoma"/>
            <family val="2"/>
          </rPr>
          <t xml:space="preserve">Cell turns Red if the actual power limit is below Minimum Power Limit (cell F47)
</t>
        </r>
      </text>
    </comment>
    <comment ref="F71" authorId="1" shapeId="0" xr:uid="{00000000-0006-0000-0100-00000F000000}">
      <text>
        <r>
          <rPr>
            <b/>
            <sz val="8"/>
            <color indexed="81"/>
            <rFont val="Tahoma"/>
            <family val="2"/>
          </rPr>
          <t>Select if the load will draw current during start-up. 
For no Load, choose constant current and set to zero</t>
        </r>
      </text>
    </comment>
    <comment ref="F73" authorId="1" shapeId="0" xr:uid="{00000000-0006-0000-0100-000010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5" authorId="2" shapeId="0" xr:uid="{00000000-0006-0000-0100-000011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6" authorId="0" shapeId="0" xr:uid="{00000000-0006-0000-0100-000012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8" authorId="2" shapeId="0" xr:uid="{00000000-0006-0000-0100-000013000000}">
      <text>
        <r>
          <rPr>
            <b/>
            <sz val="9"/>
            <color indexed="81"/>
            <rFont val="Tahoma"/>
            <family val="2"/>
          </rPr>
          <t>Pick closest capacitor that is larger than the Target capacitance</t>
        </r>
        <r>
          <rPr>
            <sz val="9"/>
            <color indexed="81"/>
            <rFont val="Tahoma"/>
            <family val="2"/>
          </rPr>
          <t xml:space="preserve">
</t>
        </r>
      </text>
    </comment>
    <comment ref="F80" authorId="2" shapeId="0" xr:uid="{00000000-0006-0000-0100-000014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81" authorId="1" shapeId="0" xr:uid="{00000000-0006-0000-0100-000015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2" authorId="2" shapeId="0" xr:uid="{00000000-0006-0000-0100-000016000000}">
      <text>
        <r>
          <rPr>
            <b/>
            <sz val="9"/>
            <color indexed="81"/>
            <rFont val="Tahoma"/>
            <family val="2"/>
          </rPr>
          <t xml:space="preserve">If these cells are red, there is no suitable slew rate for keeping FET whithin SOA. 
Reduce load at start-up or pick FET with better SOA. </t>
        </r>
      </text>
    </comment>
    <comment ref="F83" authorId="2" shapeId="0" xr:uid="{00000000-0006-0000-0100-000017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4" authorId="2" shapeId="0" xr:uid="{00000000-0006-0000-0100-000018000000}">
      <text>
        <r>
          <rPr>
            <b/>
            <sz val="9"/>
            <color indexed="81"/>
            <rFont val="Tahoma"/>
            <family val="2"/>
          </rPr>
          <t>Ensure that this is lower than max ss slew rate in the cell above</t>
        </r>
        <r>
          <rPr>
            <sz val="9"/>
            <color indexed="81"/>
            <rFont val="Tahoma"/>
            <family val="2"/>
          </rPr>
          <t xml:space="preserve">
</t>
        </r>
      </text>
    </comment>
    <comment ref="F87" authorId="2" shapeId="0" xr:uid="{00000000-0006-0000-0100-000019000000}">
      <text>
        <r>
          <rPr>
            <b/>
            <sz val="9"/>
            <color indexed="81"/>
            <rFont val="Tahoma"/>
            <family val="2"/>
          </rPr>
          <t>Ensure that this is lower than max ss slew rate.</t>
        </r>
      </text>
    </comment>
    <comment ref="F88" authorId="2" shapeId="0" xr:uid="{00000000-0006-0000-0100-00001A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3" authorId="2" shapeId="0" xr:uid="{00000000-0006-0000-0100-00001B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5" authorId="0" shapeId="0" xr:uid="{00000000-0006-0000-0100-00001C000000}">
      <text>
        <r>
          <rPr>
            <b/>
            <sz val="8"/>
            <color indexed="81"/>
            <rFont val="Tahoma"/>
            <family val="2"/>
          </rPr>
          <t>This calculation applies only when the RETRY option is selected.</t>
        </r>
      </text>
    </comment>
    <comment ref="F96" authorId="1" shapeId="0" xr:uid="{00000000-0006-0000-0100-00001D000000}">
      <text>
        <r>
          <rPr>
            <b/>
            <sz val="8"/>
            <color indexed="81"/>
            <rFont val="Tahoma"/>
            <family val="2"/>
          </rPr>
          <t>See the schematics above to select the appropriate option for setting the input voltage UVLO and OVLO thresholds.</t>
        </r>
      </text>
    </comment>
    <comment ref="F97" authorId="0" shapeId="0" xr:uid="{00000000-0006-0000-0100-00001E000000}">
      <text>
        <r>
          <rPr>
            <b/>
            <sz val="8"/>
            <color indexed="81"/>
            <rFont val="Tahoma"/>
            <family val="2"/>
          </rPr>
          <t>This threshold must be between 10V and 80V.</t>
        </r>
      </text>
    </comment>
    <comment ref="F98" authorId="0" shapeId="0" xr:uid="{00000000-0006-0000-0100-00001F000000}">
      <text>
        <r>
          <rPr>
            <b/>
            <sz val="8"/>
            <color indexed="81"/>
            <rFont val="Tahoma"/>
            <family val="2"/>
          </rPr>
          <t>This threshold must be greater than 10V, and less than the upper UVLO threshold.</t>
        </r>
      </text>
    </comment>
    <comment ref="F99" authorId="0" shapeId="0" xr:uid="{00000000-0006-0000-0100-000020000000}">
      <text>
        <r>
          <rPr>
            <b/>
            <sz val="8"/>
            <color indexed="81"/>
            <rFont val="Tahoma"/>
            <family val="2"/>
          </rPr>
          <t>This threshold must be greater than the upper UVLO Threshold, and less than 80V.</t>
        </r>
      </text>
    </comment>
    <comment ref="F145" authorId="2" shapeId="0" xr:uid="{00000000-0006-0000-0100-000021000000}">
      <text>
        <r>
          <rPr>
            <sz val="9"/>
            <color indexed="81"/>
            <rFont val="Tahoma"/>
            <family val="2"/>
          </rPr>
          <t xml:space="preserve">TI recommended. Same as EVM
</t>
        </r>
      </text>
    </comment>
    <comment ref="F148" authorId="4" shapeId="0" xr:uid="{00000000-0006-0000-0100-000022000000}">
      <text>
        <r>
          <rPr>
            <sz val="9"/>
            <color indexed="81"/>
            <rFont val="Tahoma"/>
            <family val="2"/>
          </rPr>
          <t xml:space="preserve">TI recommended. Same as EVM
</t>
        </r>
      </text>
    </comment>
    <comment ref="F150" authorId="2" shapeId="0" xr:uid="{00000000-0006-0000-0100-000023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<sst xmlns="http://schemas.openxmlformats.org/spreadsheetml/2006/main" count="768" uniqueCount="524">
  <si>
    <t>© 2014</t>
  </si>
  <si>
    <t>LM5066I Design Tool- Rev. C</t>
  </si>
  <si>
    <t>Typical design procedure</t>
  </si>
  <si>
    <t>Typical applications require multiple passes through the design tool using MOSFET factors such as transient</t>
  </si>
  <si>
    <t>thermal response and safe operating area curves. Refer to the following application reports for more detail.</t>
  </si>
  <si>
    <t>Robust Hot Swap Design</t>
  </si>
  <si>
    <t>LM5066I Datasheet (See "Applications and Implementation")</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</si>
  <si>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</si>
  <si>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</si>
  <si>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</si>
  <si>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</si>
  <si>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</si>
  <si>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</si>
  <si>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</si>
  <si>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</si>
  <si>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</si>
  <si>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</si>
  <si>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</si>
  <si>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</si>
  <si>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</si>
  <si>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</si>
  <si>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t xml:space="preserve">                         </t>
    </r>
    <r>
      <rPr>
        <sz val="22"/>
        <color theme="0"/>
        <rFont val="Arial"/>
        <family val="2"/>
      </rPr>
      <t>LM5066I PMBus Hot Swap Design Tool</t>
    </r>
  </si>
  <si>
    <t>www.ti.com/hotswap</t>
  </si>
  <si>
    <t>Enter Values in Green Shaded Cells</t>
  </si>
  <si>
    <t>Calculated Values are shown in White Cells</t>
  </si>
  <si>
    <t xml:space="preserve">Yellow and Red cells highlight potential issues with the design. Red highlights items that are higher risk. </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</si>
  <si>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</si>
  <si>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</si>
  <si>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Yes</t>
  </si>
  <si>
    <t>No</t>
  </si>
  <si>
    <t>Steps 1 &amp; 2: Operating Conditions, Current Limit, &amp; Circuit Breaker (7:41)</t>
  </si>
  <si>
    <t>Step 3: MOSFET Selection (9:58)</t>
  </si>
  <si>
    <t>Step 4: Startup (10:32)</t>
  </si>
  <si>
    <t>Step 5: UVLO, OVLO &amp; PGD Thresholds (4:20)</t>
  </si>
  <si>
    <t>LM5066I Datasheet</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</si>
  <si>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</si>
  <si>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</si>
  <si>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</si>
  <si>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Step 1: Operating Conditions</t>
  </si>
  <si>
    <r>
      <t>Minimum Input Operating Voltage: V</t>
    </r>
    <r>
      <rPr>
        <vertAlign val="subscript"/>
        <sz val="10"/>
        <rFont val="Arial"/>
        <family val="2"/>
      </rPr>
      <t>IN(MIN)</t>
    </r>
  </si>
  <si>
    <t>V</t>
  </si>
  <si>
    <r>
      <t>Nominal Input Operating Voltage: V</t>
    </r>
    <r>
      <rPr>
        <vertAlign val="subscript"/>
        <sz val="10"/>
        <rFont val="Arial"/>
        <family val="2"/>
      </rPr>
      <t>IN(NOM)</t>
    </r>
  </si>
  <si>
    <r>
      <t>Maximum Input Operating Voltage: V</t>
    </r>
    <r>
      <rPr>
        <vertAlign val="subscript"/>
        <sz val="10"/>
        <rFont val="Arial"/>
        <family val="2"/>
      </rPr>
      <t>IN(MAX)</t>
    </r>
  </si>
  <si>
    <r>
      <t>Maximum Load Current: I</t>
    </r>
    <r>
      <rPr>
        <vertAlign val="subscript"/>
        <sz val="10"/>
        <rFont val="Arial"/>
        <family val="2"/>
      </rPr>
      <t>OUT(MAX)</t>
    </r>
  </si>
  <si>
    <t>A</t>
  </si>
  <si>
    <r>
      <t>Maximum Output Load Capacitance: C</t>
    </r>
    <r>
      <rPr>
        <vertAlign val="subscript"/>
        <sz val="10"/>
        <rFont val="Arial"/>
        <family val="2"/>
      </rPr>
      <t>LOAD</t>
    </r>
  </si>
  <si>
    <t>µF</t>
  </si>
  <si>
    <r>
      <t>Maximum Ambient Operating Temperature: T</t>
    </r>
    <r>
      <rPr>
        <vertAlign val="subscript"/>
        <sz val="10"/>
        <rFont val="Arial"/>
        <family val="2"/>
      </rPr>
      <t>MAX</t>
    </r>
  </si>
  <si>
    <r>
      <rPr>
        <vertAlign val="superscript"/>
        <sz val="10"/>
        <rFont val="Arial"/>
        <family val="2"/>
      </rPr>
      <t>o</t>
    </r>
    <r>
      <rPr>
        <sz val="10"/>
        <rFont val="Arial"/>
        <family val="2"/>
      </rPr>
      <t>C</t>
    </r>
  </si>
  <si>
    <t>Steps 1 &amp; 2: Operating Conditions, Current Limit, &amp; Circuit Breaker</t>
  </si>
  <si>
    <t>Step 2: Current Limit and Circuit Breaker</t>
  </si>
  <si>
    <t>Current Limit Range (CL)</t>
  </si>
  <si>
    <t>26 mV</t>
  </si>
  <si>
    <t>Maximum Recommended Value for Effective Sense Resistance</t>
  </si>
  <si>
    <r>
      <t>m</t>
    </r>
    <r>
      <rPr>
        <sz val="10"/>
        <rFont val="Symbol"/>
        <family val="1"/>
        <charset val="2"/>
      </rPr>
      <t>W</t>
    </r>
  </si>
  <si>
    <t>50 mV</t>
  </si>
  <si>
    <r>
      <t>Use External Resistor Divider to Reduce Effecitve R</t>
    </r>
    <r>
      <rPr>
        <vertAlign val="subscript"/>
        <sz val="10"/>
        <rFont val="Arial"/>
        <family val="2"/>
      </rPr>
      <t>S</t>
    </r>
  </si>
  <si>
    <r>
      <t>Enter the Resistance for R</t>
    </r>
    <r>
      <rPr>
        <vertAlign val="subscript"/>
        <sz val="10"/>
        <rFont val="Arial"/>
        <family val="2"/>
      </rPr>
      <t>S</t>
    </r>
  </si>
  <si>
    <t>Recommended Value for RCL1</t>
  </si>
  <si>
    <t>W</t>
  </si>
  <si>
    <t>Recommended Value for RCL2</t>
  </si>
  <si>
    <t>Enter value for RCL1</t>
  </si>
  <si>
    <t>Enter value for RCL2</t>
  </si>
  <si>
    <r>
      <t>Effective Sense Resistance (R</t>
    </r>
    <r>
      <rPr>
        <vertAlign val="subscript"/>
        <sz val="10"/>
        <rFont val="Arial"/>
        <family val="2"/>
      </rPr>
      <t>S,EFF</t>
    </r>
    <r>
      <rPr>
        <sz val="10"/>
        <rFont val="Arial"/>
        <family val="2"/>
      </rPr>
      <t>)</t>
    </r>
  </si>
  <si>
    <t>Resulting Minimum Current Limit</t>
  </si>
  <si>
    <t>Resulting Typical Current Limit</t>
  </si>
  <si>
    <t>Resulting Maximum Current Limit</t>
  </si>
  <si>
    <t>Retry</t>
  </si>
  <si>
    <r>
      <t>Maximum Power Dissipation in R</t>
    </r>
    <r>
      <rPr>
        <vertAlign val="subscript"/>
        <sz val="10"/>
        <rFont val="Arial"/>
        <family val="2"/>
      </rPr>
      <t>S</t>
    </r>
  </si>
  <si>
    <t>Latch Off</t>
  </si>
  <si>
    <t>Fault Response</t>
  </si>
  <si>
    <t>1.9 x Current Limit</t>
  </si>
  <si>
    <t>Circuit Breaker to Current Limit Raitio</t>
  </si>
  <si>
    <t>3.9 x Current Limit</t>
  </si>
  <si>
    <t>Step 3: MOSFET Selection</t>
  </si>
  <si>
    <t>Q1 FET Name</t>
  </si>
  <si>
    <t>CSD19536KTT</t>
  </si>
  <si>
    <r>
      <t>Estimated MOSFET R</t>
    </r>
    <r>
      <rPr>
        <sz val="10"/>
        <rFont val="Symbol"/>
        <family val="1"/>
        <charset val="2"/>
      </rPr>
      <t>Q</t>
    </r>
    <r>
      <rPr>
        <vertAlign val="subscript"/>
        <sz val="10"/>
        <rFont val="Arial"/>
        <family val="2"/>
      </rPr>
      <t>JA</t>
    </r>
  </si>
  <si>
    <r>
      <rPr>
        <vertAlign val="superscript"/>
        <sz val="10"/>
        <rFont val="Arial"/>
        <family val="2"/>
      </rPr>
      <t>o</t>
    </r>
    <r>
      <rPr>
        <sz val="10"/>
        <rFont val="Arial"/>
        <family val="2"/>
      </rPr>
      <t>C/W</t>
    </r>
  </si>
  <si>
    <t>Number of MosFETs</t>
  </si>
  <si>
    <t>#</t>
  </si>
  <si>
    <t>Values Used</t>
  </si>
  <si>
    <r>
      <t>MOSFET On resistance @ T</t>
    </r>
    <r>
      <rPr>
        <vertAlign val="subscript"/>
        <sz val="10"/>
        <rFont val="Arial"/>
        <family val="2"/>
      </rPr>
      <t>J,DC</t>
    </r>
  </si>
  <si>
    <t>Maximum FET Junction Temperature</t>
  </si>
  <si>
    <t>100us SOA Current (re-use 1ms data if unavailable) @ VIN(MAX)</t>
  </si>
  <si>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</si>
  <si>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</si>
  <si>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(enter 'NA' if not available)</t>
    </r>
  </si>
  <si>
    <t>NA</t>
  </si>
  <si>
    <r>
      <t>1s or DC SOA Current at @ V</t>
    </r>
    <r>
      <rPr>
        <vertAlign val="subscript"/>
        <sz val="10"/>
        <rFont val="Arial"/>
        <family val="2"/>
      </rPr>
      <t>IN(MAX)</t>
    </r>
    <r>
      <rPr>
        <sz val="10"/>
        <rFont val="Arial"/>
        <family val="2"/>
      </rPr>
      <t xml:space="preserve"> (enter 'NA' if not available)</t>
    </r>
  </si>
  <si>
    <t>Note: TI recommends choosing a FET with SOA current specified for 100ms and/or 1s or DC. If choosing a FET without these parameters, this calculator will estimate the values via extrapolation, which leaves an inherent associated risk.</t>
  </si>
  <si>
    <t>FET Power dissapation at full load (per FET)</t>
  </si>
  <si>
    <r>
      <t>Maximum steady state FET Junction Temperature (T</t>
    </r>
    <r>
      <rPr>
        <vertAlign val="subscript"/>
        <sz val="10"/>
        <rFont val="Arial"/>
        <family val="2"/>
      </rPr>
      <t>J,DC</t>
    </r>
    <r>
      <rPr>
        <sz val="10"/>
        <rFont val="Arial"/>
        <family val="2"/>
      </rPr>
      <t>)</t>
    </r>
  </si>
  <si>
    <r>
      <t>Minimum Power Limit to Ensure Vsns &gt; 4mV (P</t>
    </r>
    <r>
      <rPr>
        <vertAlign val="subscript"/>
        <sz val="10"/>
        <rFont val="Arial"/>
        <family val="2"/>
      </rPr>
      <t>LIM,MIN</t>
    </r>
    <r>
      <rPr>
        <sz val="10"/>
        <rFont val="Arial"/>
        <family val="2"/>
      </rPr>
      <t>)</t>
    </r>
  </si>
  <si>
    <t>Target Power Limit</t>
  </si>
  <si>
    <r>
      <t>Calculated R</t>
    </r>
    <r>
      <rPr>
        <vertAlign val="subscript"/>
        <sz val="10"/>
        <rFont val="Arial"/>
        <family val="2"/>
      </rPr>
      <t>PWR</t>
    </r>
  </si>
  <si>
    <r>
      <t>k</t>
    </r>
    <r>
      <rPr>
        <sz val="10"/>
        <rFont val="Symbol"/>
        <family val="1"/>
        <charset val="2"/>
      </rPr>
      <t>W</t>
    </r>
  </si>
  <si>
    <r>
      <t>Actual R</t>
    </r>
    <r>
      <rPr>
        <vertAlign val="subscript"/>
        <sz val="10"/>
        <rFont val="Arial"/>
        <family val="2"/>
      </rPr>
      <t>PWR</t>
    </r>
  </si>
  <si>
    <r>
      <rPr>
        <b/>
        <u/>
        <sz val="10"/>
        <color rgb="FFFF0000"/>
        <rFont val="Arial"/>
        <family val="2"/>
      </rPr>
      <t>Note:</t>
    </r>
    <r>
      <rPr>
        <b/>
        <sz val="10"/>
        <color rgb="FFFF0000"/>
        <rFont val="Arial"/>
        <family val="2"/>
      </rPr>
      <t xml:space="preserve"> Hover here to see the 3 values affecting this curve, consult a thermal expert if you are unsure! </t>
    </r>
  </si>
  <si>
    <t>Actual PLIM</t>
  </si>
  <si>
    <t>Step 4: Startup</t>
  </si>
  <si>
    <t>Load Turn-On Threshold</t>
  </si>
  <si>
    <t>Startup Load Type</t>
  </si>
  <si>
    <t>Resistive</t>
  </si>
  <si>
    <t>Startup Load Value</t>
  </si>
  <si>
    <t>Constant Current</t>
  </si>
  <si>
    <t>Use External Soft-Start Control (dv/dt)</t>
  </si>
  <si>
    <t>Typical Start Time with Vinmax (Tstart)</t>
  </si>
  <si>
    <t>ms</t>
  </si>
  <si>
    <t>IFET - ILOAD margin (lowest for Vout range)</t>
  </si>
  <si>
    <t>Target Fault Timer: Tstart + Margin</t>
  </si>
  <si>
    <t>Target Timer capacitance</t>
  </si>
  <si>
    <t>nF</t>
  </si>
  <si>
    <t xml:space="preserve">Selected Timer capacitance </t>
  </si>
  <si>
    <t>Final Fault Timer(Tfault)</t>
  </si>
  <si>
    <t>Derated SOA / PLIM</t>
  </si>
  <si>
    <t>Can a "hot" board be hotplugged</t>
  </si>
  <si>
    <t>Recommended slew Rate (max)</t>
  </si>
  <si>
    <t>V/ms</t>
  </si>
  <si>
    <t>Recommended slew Rate (min)</t>
  </si>
  <si>
    <t>dv/dt rate on Vout</t>
  </si>
  <si>
    <t>calculated SS capacitance</t>
  </si>
  <si>
    <t>Note: This is the typical dv/dt rate, but max value can be 2x. This is because the gate source current can vary from 20uA to 40uA. Thus TI recommends keeping the overall SOA margin during start-up &gt;1.5 in order to compensate for this.</t>
  </si>
  <si>
    <t>actual SS capacitance</t>
  </si>
  <si>
    <t>actual typical dv/dt rate on Vout</t>
  </si>
  <si>
    <t>SOA margin during start-up</t>
  </si>
  <si>
    <t>Target Fault Time</t>
  </si>
  <si>
    <t xml:space="preserve">Calculated Timer Capacitance </t>
  </si>
  <si>
    <r>
      <t>Actual Timer Capacitance ( pick one smaller than C</t>
    </r>
    <r>
      <rPr>
        <vertAlign val="subscript"/>
        <sz val="10"/>
        <rFont val="Arial"/>
        <family val="2"/>
      </rPr>
      <t>T,CALC</t>
    </r>
    <r>
      <rPr>
        <sz val="10"/>
        <rFont val="Arial"/>
        <family val="2"/>
      </rPr>
      <t xml:space="preserve">) </t>
    </r>
  </si>
  <si>
    <t>Actual Fault Time (Tfault)</t>
  </si>
  <si>
    <t xml:space="preserve"> </t>
  </si>
  <si>
    <t>SOA margin during "hot-short" or "start-into short"</t>
  </si>
  <si>
    <t>Resulting Typical Insertion Delay Time</t>
  </si>
  <si>
    <t>Resulting Typical Restart Time</t>
  </si>
  <si>
    <t>Step 5: UVLO, OVLO &amp; PGD Thresholds</t>
  </si>
  <si>
    <t>Select Option A or Option B</t>
  </si>
  <si>
    <t>Option A</t>
  </si>
  <si>
    <t>Desired Upper UVLO Threshold</t>
  </si>
  <si>
    <t>Option B</t>
  </si>
  <si>
    <t>Desired Lower UVLO Threshold</t>
  </si>
  <si>
    <t>Option C</t>
  </si>
  <si>
    <t>Desired Upper OVLO Threshold</t>
  </si>
  <si>
    <t>Option D</t>
  </si>
  <si>
    <t>Desired Lower OVLO Threshold</t>
  </si>
  <si>
    <t>Recommended Resistance for:  R1</t>
  </si>
  <si>
    <t>R2</t>
  </si>
  <si>
    <t>R3</t>
  </si>
  <si>
    <t>R4</t>
  </si>
  <si>
    <t xml:space="preserve">Enter the Resistance for R1 </t>
  </si>
  <si>
    <t xml:space="preserve">Enter the Resistance for R2 </t>
  </si>
  <si>
    <t xml:space="preserve">Enter the Resistance for R3 </t>
  </si>
  <si>
    <t xml:space="preserve">Enter the Resistance for R4 </t>
  </si>
  <si>
    <t>Resulting Thresholds:</t>
  </si>
  <si>
    <t>Minimum</t>
  </si>
  <si>
    <t>Typical</t>
  </si>
  <si>
    <t>Maximum</t>
  </si>
  <si>
    <t xml:space="preserve">Resulting Upper UVLO Threshold = </t>
  </si>
  <si>
    <t xml:space="preserve">Resulting Lower UVLO Threshold = </t>
  </si>
  <si>
    <t xml:space="preserve">Resulting Upper OVLO Threshold = </t>
  </si>
  <si>
    <t xml:space="preserve">Resulting Lower OVLO Threshold = </t>
  </si>
  <si>
    <t>Note: If any of the cells above are yellow, then these values are outside of the device's operating range. This will result in the device turning either on or off at its operating limits rather than at the user selected values in yellow.</t>
  </si>
  <si>
    <r>
      <t>Enter the Resistance for R</t>
    </r>
    <r>
      <rPr>
        <vertAlign val="subscript"/>
        <sz val="10"/>
        <rFont val="Arial"/>
        <family val="2"/>
      </rPr>
      <t>PG</t>
    </r>
  </si>
  <si>
    <t>Desired PGD Rising Threshold</t>
  </si>
  <si>
    <t>Desired PGD Hysteresis</t>
  </si>
  <si>
    <t>Recommended Resistance for:  R5</t>
  </si>
  <si>
    <t>R6</t>
  </si>
  <si>
    <t>Enter Resistance for: R5</t>
  </si>
  <si>
    <t>Nominal PGD Rising Threhold</t>
  </si>
  <si>
    <t>Nominal PGD Hysteresis</t>
  </si>
  <si>
    <t>Design Summary</t>
  </si>
  <si>
    <r>
      <t>R</t>
    </r>
    <r>
      <rPr>
        <vertAlign val="subscript"/>
        <sz val="11"/>
        <color theme="1"/>
        <rFont val="Arial"/>
        <family val="2"/>
      </rPr>
      <t>SNS</t>
    </r>
    <r>
      <rPr>
        <sz val="11"/>
        <color theme="1"/>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</si>
  <si>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</si>
  <si>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</si>
  <si>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r>
      <t>R</t>
    </r>
    <r>
      <rPr>
        <vertAlign val="subscript"/>
        <sz val="10"/>
        <rFont val="Arial"/>
        <family val="2"/>
      </rPr>
      <t>PWR</t>
    </r>
    <r>
      <rPr>
        <sz val="10"/>
        <rFont val="Arial"/>
        <family val="2"/>
      </rPr>
      <t xml:space="preserve"> =</t>
    </r>
  </si>
  <si>
    <t>Settings</t>
  </si>
  <si>
    <t>Units</t>
  </si>
  <si>
    <r>
      <t>C</t>
    </r>
    <r>
      <rPr>
        <vertAlign val="subscript"/>
        <sz val="10"/>
        <rFont val="Arial"/>
        <family val="2"/>
      </rPr>
      <t>TIMER</t>
    </r>
    <r>
      <rPr>
        <sz val="10"/>
        <rFont val="Arial"/>
        <family val="2"/>
      </rPr>
      <t xml:space="preserve"> =</t>
    </r>
  </si>
  <si>
    <t>Current limit</t>
  </si>
  <si>
    <t>R1 =</t>
  </si>
  <si>
    <t>Power Limit</t>
  </si>
  <si>
    <t>R2 =</t>
  </si>
  <si>
    <t>Circuit Breaker Threshold</t>
  </si>
  <si>
    <t>R3 =</t>
  </si>
  <si>
    <t>Startup Time</t>
  </si>
  <si>
    <t>R4 =</t>
  </si>
  <si>
    <t>Insertion Delay</t>
  </si>
  <si>
    <t>R5 =</t>
  </si>
  <si>
    <t>Fault Timeout</t>
  </si>
  <si>
    <t>R6 =</t>
  </si>
  <si>
    <t>Restart Time During Fault</t>
  </si>
  <si>
    <r>
      <t>C</t>
    </r>
    <r>
      <rPr>
        <vertAlign val="subscript"/>
        <sz val="10"/>
        <rFont val="Arial"/>
        <family val="2"/>
      </rPr>
      <t>dv/dt</t>
    </r>
    <r>
      <rPr>
        <sz val="10"/>
        <rFont val="Arial"/>
        <family val="2"/>
      </rPr>
      <t xml:space="preserve"> =</t>
    </r>
  </si>
  <si>
    <t>Upper UVLO Threshold</t>
  </si>
  <si>
    <r>
      <t>C</t>
    </r>
    <r>
      <rPr>
        <vertAlign val="subscript"/>
        <sz val="10"/>
        <rFont val="Arial"/>
        <family val="2"/>
      </rPr>
      <t>IN</t>
    </r>
    <r>
      <rPr>
        <sz val="10"/>
        <rFont val="Arial"/>
        <family val="2"/>
      </rPr>
      <t xml:space="preserve"> = </t>
    </r>
  </si>
  <si>
    <t>Lower UVLO Threshold</t>
  </si>
  <si>
    <r>
      <t>C</t>
    </r>
    <r>
      <rPr>
        <vertAlign val="subscript"/>
        <sz val="10"/>
        <rFont val="Arial"/>
        <family val="2"/>
      </rPr>
      <t>VDD</t>
    </r>
    <r>
      <rPr>
        <sz val="10"/>
        <rFont val="Arial"/>
        <family val="2"/>
      </rPr>
      <t xml:space="preserve"> =</t>
    </r>
  </si>
  <si>
    <t>Upper OVLO Threshold</t>
  </si>
  <si>
    <r>
      <t>C</t>
    </r>
    <r>
      <rPr>
        <vertAlign val="subscript"/>
        <sz val="10"/>
        <rFont val="Arial"/>
        <family val="2"/>
      </rPr>
      <t>VREF</t>
    </r>
    <r>
      <rPr>
        <sz val="10"/>
        <rFont val="Arial"/>
        <family val="2"/>
      </rPr>
      <t xml:space="preserve"> =</t>
    </r>
  </si>
  <si>
    <t>Lower OVLO Threshold</t>
  </si>
  <si>
    <t>Connect CL Pin to</t>
  </si>
  <si>
    <t>PGD Threshold</t>
  </si>
  <si>
    <t>Connect CB Pin to</t>
  </si>
  <si>
    <t>PGD Hystersis</t>
  </si>
  <si>
    <t>Connect /Retry to</t>
  </si>
  <si>
    <t>D1</t>
  </si>
  <si>
    <t>B380-13-F</t>
  </si>
  <si>
    <t>D2</t>
  </si>
  <si>
    <t>Q1</t>
  </si>
  <si>
    <t>Q2</t>
  </si>
  <si>
    <t>MMBT3904</t>
  </si>
  <si>
    <t>Q3</t>
  </si>
  <si>
    <t>Z1</t>
  </si>
  <si>
    <t>5.0SMDJxx</t>
  </si>
  <si>
    <t>Notes:</t>
  </si>
  <si>
    <r>
      <t>1. Although not mandatory, C</t>
    </r>
    <r>
      <rPr>
        <vertAlign val="subscript"/>
        <sz val="10"/>
        <rFont val="Arial"/>
        <family val="2"/>
      </rPr>
      <t>IN</t>
    </r>
    <r>
      <rPr>
        <sz val="10"/>
        <rFont val="Arial"/>
        <family val="2"/>
      </rPr>
      <t xml:space="preserve"> provides transient suppression at the VIN pin</t>
    </r>
  </si>
  <si>
    <t>2. A TVS clamp from VIN to GND is absolutely mandatory to clamp the voltage overshoot upon MOSFET turn-off, e.g. during circuit breaker</t>
  </si>
  <si>
    <t>3. Componet tolerances not accounted for in Min/Max Calculations.</t>
  </si>
  <si>
    <t>Min</t>
  </si>
  <si>
    <t>Typ</t>
  </si>
  <si>
    <t>Max</t>
  </si>
  <si>
    <t>Operating Conditions</t>
  </si>
  <si>
    <t>Junction Temperature</t>
  </si>
  <si>
    <t>Input Voltage</t>
  </si>
  <si>
    <t>Current Limit</t>
  </si>
  <si>
    <t>Threshold Voltage CL = VDD</t>
  </si>
  <si>
    <t>Threshold Voltage CL = GND</t>
  </si>
  <si>
    <t>Sense input Current</t>
  </si>
  <si>
    <t>uA</t>
  </si>
  <si>
    <t>Systematic Offset</t>
  </si>
  <si>
    <t>Minimum Recommended Vsns</t>
  </si>
  <si>
    <t>&lt;= I am assuming this would have +/- 50% error at best</t>
  </si>
  <si>
    <t>A_coeff</t>
  </si>
  <si>
    <t xml:space="preserve">Key Equations: </t>
  </si>
  <si>
    <t>Vsns = Rpwr / (A*Vds) + Vos,syst</t>
  </si>
  <si>
    <t xml:space="preserve">Example: </t>
  </si>
  <si>
    <t>Vds</t>
  </si>
  <si>
    <t>Rpwr</t>
  </si>
  <si>
    <t>Rsns (m-ohm)</t>
  </si>
  <si>
    <t>Plim</t>
  </si>
  <si>
    <t>Vsns (mV)</t>
  </si>
  <si>
    <t>Plim (Vds) = 1/Rs * [ Rpwr/A + Vds * Vos, syst=</t>
  </si>
  <si>
    <t>Rpwr =  A * [PLIM(Vds) * Rs - 0.043]</t>
  </si>
  <si>
    <t>How Plim varries vs Vds:</t>
  </si>
  <si>
    <t>Ex: Plim @ 13V = 100W, Rs = 0.5; Plim @ (Vds = 5V) = 100W - 7V * 1mV/0.5mili-ohm = 100W - 14W = 86W</t>
  </si>
  <si>
    <t>Timer</t>
  </si>
  <si>
    <t>Upper Threshold</t>
  </si>
  <si>
    <t>Insertion Time Current</t>
  </si>
  <si>
    <t>timer_constant</t>
  </si>
  <si>
    <t>Fault detection current</t>
  </si>
  <si>
    <t>Computed Start - Up Slop</t>
  </si>
  <si>
    <t>&lt;= mean root square(T_start_error_Plim, timer_error, cap_error); T_start proportional to 1/Plim =&gt; T_start_error_plim = 1/(1-Plim_err) - 1 = 1/(1-0.4) - 1 = 0.66</t>
  </si>
  <si>
    <t>Slop for calculations</t>
  </si>
  <si>
    <t>Note: We get additional buffer, b/c this is designed for a Vinmax, while typically Vin = Vinnom</t>
  </si>
  <si>
    <t>Gate</t>
  </si>
  <si>
    <t>Gate Sourcing Current</t>
  </si>
  <si>
    <t>Circuit Breaker</t>
  </si>
  <si>
    <t>26mV</t>
  </si>
  <si>
    <t>50mV</t>
  </si>
  <si>
    <t>1.9 x Threshold</t>
  </si>
  <si>
    <t>1.9x CB:CL Ratio</t>
  </si>
  <si>
    <t>3.9 x Threshold</t>
  </si>
  <si>
    <t>3.9x CB:CL Ratio</t>
  </si>
  <si>
    <t>Timer Pin</t>
  </si>
  <si>
    <t>Lower Threshold (Restart)</t>
  </si>
  <si>
    <t>End of Cycle</t>
  </si>
  <si>
    <t>Re-enable threshold</t>
  </si>
  <si>
    <t>Insertion time current</t>
  </si>
  <si>
    <t>Sink current, end of insertion</t>
  </si>
  <si>
    <t>Fault sink current</t>
  </si>
  <si>
    <t>Power Good</t>
  </si>
  <si>
    <t>PGVOL</t>
  </si>
  <si>
    <t>mV</t>
  </si>
  <si>
    <t>mA sinking</t>
  </si>
  <si>
    <t>FB Pin</t>
  </si>
  <si>
    <t>FB Threshold</t>
  </si>
  <si>
    <t>FB Hysteresis Current</t>
  </si>
  <si>
    <t>CLMIN =</t>
  </si>
  <si>
    <t xml:space="preserve">CLNOM = </t>
  </si>
  <si>
    <t>CLMAX =</t>
  </si>
  <si>
    <t>Max Rs =</t>
  </si>
  <si>
    <t>RCL1 Recommended  =</t>
  </si>
  <si>
    <t>RCL2 Recommmended =</t>
  </si>
  <si>
    <t>Effective Rs =</t>
  </si>
  <si>
    <t>Min. Current limit =</t>
  </si>
  <si>
    <t>Typ. Current limit =</t>
  </si>
  <si>
    <t>Max. Current limit =</t>
  </si>
  <si>
    <t>Rs Power Diss. =</t>
  </si>
  <si>
    <t xml:space="preserve">CB threshold: </t>
  </si>
  <si>
    <t xml:space="preserve">CB threshold </t>
  </si>
  <si>
    <t>FET Selection</t>
  </si>
  <si>
    <t>Nominal</t>
  </si>
  <si>
    <t>Derated at TJ</t>
  </si>
  <si>
    <t>100ms SOA Current Maximum Input Voltage</t>
  </si>
  <si>
    <t>1ms SOA Current Maximum Input Voltage</t>
  </si>
  <si>
    <t>10ms SOA Current Maximum Input Voltage</t>
  </si>
  <si>
    <t>100ms or DC SOA Current at Maximum Input Voltage</t>
  </si>
  <si>
    <t>Minimum Power Limit=</t>
  </si>
  <si>
    <t>Target PLIM</t>
  </si>
  <si>
    <t>k-ohm</t>
  </si>
  <si>
    <t>Rpwr actual</t>
  </si>
  <si>
    <t>Final Plim</t>
  </si>
  <si>
    <t>Resulting Typical Power Limit =</t>
  </si>
  <si>
    <t xml:space="preserve">   24% tolerance used in this calculation.</t>
  </si>
  <si>
    <t>Resulting Minimum Power Limit =</t>
  </si>
  <si>
    <t>Resulting Maximum Power Limit =</t>
  </si>
  <si>
    <t>Startup</t>
  </si>
  <si>
    <t>With PLIM</t>
  </si>
  <si>
    <t>Typical Start time</t>
  </si>
  <si>
    <t>Start-slop</t>
  </si>
  <si>
    <t>Target Fault Timer</t>
  </si>
  <si>
    <t>Selected Timer capacitance</t>
  </si>
  <si>
    <t>Final Fault Timer</t>
  </si>
  <si>
    <t>SOA / PLIM</t>
  </si>
  <si>
    <t>With SS</t>
  </si>
  <si>
    <t>dv/dt rate</t>
  </si>
  <si>
    <t>actual dv/dt rate</t>
  </si>
  <si>
    <t>I_Cout</t>
  </si>
  <si>
    <t>typical start time</t>
  </si>
  <si>
    <t>FET Energy dissipated at start-up (EFET)</t>
  </si>
  <si>
    <t>J</t>
  </si>
  <si>
    <t>Peak Power dissipated  during start-up (PFET)</t>
  </si>
  <si>
    <t>Equivalent time at peak power - EFET/PFET (t_power)</t>
  </si>
  <si>
    <t>Available SOA for t_power at Vinmax</t>
  </si>
  <si>
    <t>SOA margin</t>
  </si>
  <si>
    <t>Covering hot-short, start-into short for SS</t>
  </si>
  <si>
    <t>Actual Timer Capacitance</t>
  </si>
  <si>
    <t>Available derated SOA for Tfault</t>
  </si>
  <si>
    <t xml:space="preserve">  10% margin added in this calculation</t>
  </si>
  <si>
    <t>UVLO upper is F40</t>
  </si>
  <si>
    <t>R1 is F48</t>
  </si>
  <si>
    <t>V/S</t>
  </si>
  <si>
    <t>Min Insertion time =</t>
  </si>
  <si>
    <t>Typ. Insertion time =</t>
  </si>
  <si>
    <t>Max Insertion time =</t>
  </si>
  <si>
    <t xml:space="preserve">Min Restart time = </t>
  </si>
  <si>
    <t>Typ. Restart time =</t>
  </si>
  <si>
    <t>Max Restart time =</t>
  </si>
  <si>
    <t>Min PG Threshold =</t>
  </si>
  <si>
    <t>Nom PG Threshold =</t>
  </si>
  <si>
    <t>Max PG Threshold =</t>
  </si>
  <si>
    <t>Min PG Hysteresis =</t>
  </si>
  <si>
    <t>Nom PG Hysteresis =</t>
  </si>
  <si>
    <t>Max PG Hysteresis =</t>
  </si>
  <si>
    <t>UVLO lower is F41</t>
  </si>
  <si>
    <t>R2 is F49</t>
  </si>
  <si>
    <t>OVLO upper is F42</t>
  </si>
  <si>
    <t>R3 is F50</t>
  </si>
  <si>
    <t>OVLO lower is F43</t>
  </si>
  <si>
    <t>R4 is F51</t>
  </si>
  <si>
    <t>B</t>
  </si>
  <si>
    <t>C</t>
  </si>
  <si>
    <t>D</t>
  </si>
  <si>
    <t xml:space="preserve">R1 = </t>
  </si>
  <si>
    <t xml:space="preserve">R2 = </t>
  </si>
  <si>
    <t xml:space="preserve">R3 = </t>
  </si>
  <si>
    <t xml:space="preserve">R4 = </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</si>
  <si>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</si>
  <si>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</si>
  <si>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</si>
  <si>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</si>
  <si>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</si>
  <si>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</si>
  <si>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</si>
  <si>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</si>
  <si>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</si>
  <si>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</si>
  <si>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</si>
  <si>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</si>
  <si>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Ramp time for output voltage</t>
  </si>
  <si>
    <t>Nominal output voltage</t>
  </si>
  <si>
    <t>Required soft-start capacitance</t>
  </si>
  <si>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</si>
  <si>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</si>
  <si>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</si>
  <si>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</si>
  <si>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</si>
  <si>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</si>
  <si>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</si>
  <si>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</si>
  <si>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</si>
  <si>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</si>
  <si>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</si>
  <si>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</si>
  <si>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C) This table creates the</t>
  </si>
  <si>
    <t>D) This table changes ID values to zero for Vds&gt;Vin(max)</t>
  </si>
  <si>
    <t>on power limit only - no current limit info.</t>
  </si>
  <si>
    <t>current is greater than the current limit.</t>
  </si>
  <si>
    <t>SOA data points from</t>
  </si>
  <si>
    <t>and adds the SOA curve. This data is plotted.</t>
  </si>
  <si>
    <t>PLIM</t>
  </si>
  <si>
    <t>the customer's SOA</t>
  </si>
  <si>
    <t>SOA</t>
  </si>
  <si>
    <t>Temp Derated SOA</t>
  </si>
  <si>
    <t>data he entered.</t>
  </si>
  <si>
    <t>User's</t>
  </si>
  <si>
    <t>Ids</t>
  </si>
  <si>
    <t>x = customer's entry</t>
  </si>
  <si>
    <t>x</t>
  </si>
  <si>
    <t>Note: I added an adjustment for the systematic offset</t>
  </si>
  <si>
    <t>Vos syst</t>
  </si>
  <si>
    <t>Rs (ohm)</t>
  </si>
  <si>
    <t>Vin, max</t>
  </si>
  <si>
    <t>Plim tolerance</t>
  </si>
  <si>
    <t>Plim (Vds) = Plim (Vin,max) + (Vds - Vin,max)*Vos,syst/Rs</t>
  </si>
  <si>
    <t>ILIM</t>
  </si>
  <si>
    <t>Load type</t>
  </si>
  <si>
    <t>SS</t>
  </si>
  <si>
    <t>Load Value</t>
  </si>
  <si>
    <t>Load start</t>
  </si>
  <si>
    <t>Rs</t>
  </si>
  <si>
    <t>Vos,syst</t>
  </si>
  <si>
    <t>Start-time</t>
  </si>
  <si>
    <t>I_fet-I_L margin</t>
  </si>
  <si>
    <t>I_g(hi/nom)</t>
  </si>
  <si>
    <t>I_g(low/nom)</t>
  </si>
  <si>
    <t>To avoid timer running: Iload + Icap,ss &lt; IFET_PLIM / 2 =&gt; SS_RATE &lt; 1/Cout * (IFET_PLIM/2 - ILOAD)</t>
  </si>
  <si>
    <t>Max_SS_Rate</t>
  </si>
  <si>
    <t>max_power_typ</t>
  </si>
  <si>
    <t>FET_ENERGY</t>
  </si>
  <si>
    <t>max_power_high</t>
  </si>
  <si>
    <t>max_power_low</t>
  </si>
  <si>
    <t>VIN</t>
  </si>
  <si>
    <t>Vout</t>
  </si>
  <si>
    <t>ILOAD</t>
  </si>
  <si>
    <t>IFET_PLIM</t>
  </si>
  <si>
    <t>I_FET_SS</t>
  </si>
  <si>
    <t>IFET</t>
  </si>
  <si>
    <t>ICAP</t>
  </si>
  <si>
    <r>
      <rPr>
        <b/>
        <u/>
        <sz val="10"/>
        <rFont val="Symbol"/>
        <family val="1"/>
        <charset val="2"/>
      </rPr>
      <t>D</t>
    </r>
    <r>
      <rPr>
        <b/>
        <u/>
        <sz val="10"/>
        <rFont val="Arial"/>
        <family val="2"/>
      </rPr>
      <t>t</t>
    </r>
  </si>
  <si>
    <t>Time</t>
  </si>
  <si>
    <t>Tiime (ms)</t>
  </si>
  <si>
    <t>I_Fet-IL margin</t>
  </si>
  <si>
    <t>Max _allowed SS_rate</t>
  </si>
  <si>
    <t>FET_Energy</t>
  </si>
  <si>
    <t>Power (W)</t>
  </si>
  <si>
    <t>P_ fast_SS</t>
  </si>
  <si>
    <t>P_slow_SS</t>
  </si>
  <si>
    <t xml:space="preserve">Start-up slop </t>
  </si>
  <si>
    <t>QG</t>
  </si>
  <si>
    <t>I_Src</t>
  </si>
  <si>
    <t>RMS</t>
  </si>
  <si>
    <t>combined</t>
  </si>
  <si>
    <t>I_timer</t>
  </si>
  <si>
    <t>C_timer</t>
  </si>
  <si>
    <t>Final</t>
  </si>
  <si>
    <t>Look Up</t>
  </si>
  <si>
    <t>I = a * t^m</t>
  </si>
  <si>
    <t>100us</t>
  </si>
  <si>
    <t>1ms</t>
  </si>
  <si>
    <t>10ms</t>
  </si>
  <si>
    <t>100ms</t>
  </si>
  <si>
    <t>1s/DC</t>
  </si>
  <si>
    <t>a = iSOA1/tSOA1^m</t>
  </si>
  <si>
    <t>Final SOA</t>
  </si>
  <si>
    <t>m = log(iSOA1/iSOA2)/log(tSOA1/tSOA2)</t>
  </si>
  <si>
    <t>SOA Check - Based on Timer</t>
  </si>
  <si>
    <t>SOA Predictor - dv/dt start-up</t>
  </si>
  <si>
    <t>time</t>
  </si>
  <si>
    <t>Voltage</t>
  </si>
  <si>
    <t>Lower time</t>
  </si>
  <si>
    <t>Lower time (adjusted)</t>
  </si>
  <si>
    <t>Higher timer</t>
  </si>
  <si>
    <t>Higher time</t>
  </si>
  <si>
    <t>Higher time (adjusted)</t>
  </si>
  <si>
    <t>I (lower time)</t>
  </si>
  <si>
    <t>I (higher time)</t>
  </si>
  <si>
    <t>Assuming Power vs time is linear on a log-log plot</t>
  </si>
  <si>
    <t>a</t>
  </si>
  <si>
    <t>m</t>
  </si>
  <si>
    <t>&lt;-- Cannot plot zero on a log graph. If slope ~=0, then use 1e-12 as value</t>
  </si>
  <si>
    <t>Extr. I</t>
  </si>
  <si>
    <t>Interpolated Power=</t>
  </si>
  <si>
    <t>board hot?</t>
  </si>
  <si>
    <t>Derating factor =</t>
  </si>
  <si>
    <t>Temp for derating</t>
  </si>
  <si>
    <t xml:space="preserve">Max Power with Temp Derating = </t>
  </si>
  <si>
    <t>SOA Coefficients</t>
  </si>
  <si>
    <t>0.1 to 1 ms</t>
  </si>
  <si>
    <t>1 to 10ms</t>
  </si>
  <si>
    <t>10ms to 100 ms</t>
  </si>
  <si>
    <t>100 ms to 1s</t>
  </si>
  <si>
    <t>t1</t>
  </si>
  <si>
    <t>t2</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</si>
  <si>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</si>
  <si>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</si>
  <si>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</si>
  <si>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</si>
  <si>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</si>
  <si>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</si>
  <si>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</si>
  <si>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 xml:space="preserve">                </t>
  </si>
  <si>
    <t xml:space="preserve"> P = (I_cap + Vout/R ) * (Vin - Vout) = Icap * Vin - Icap * Vout +Vin * Vout / R - Vout^2 / R </t>
  </si>
  <si>
    <t xml:space="preserve"> =&gt;  dP/dVout =  -Icap + Vin/R -2Vout /R ;  Zero when Vout = -R*I_cap / 2 + Vin / 2</t>
  </si>
  <si>
    <t>Copied Inputs</t>
  </si>
  <si>
    <t>Temp_start_up</t>
  </si>
  <si>
    <t>SOA margin target</t>
  </si>
  <si>
    <t>Cap Energy (J)</t>
  </si>
  <si>
    <t>E_load (t_worksheet)  (J)</t>
  </si>
  <si>
    <t>t_worksheet (ms)</t>
  </si>
  <si>
    <t>Initial</t>
  </si>
  <si>
    <t xml:space="preserve">max slew rate </t>
  </si>
  <si>
    <t>Upper bound Slew Rate (4ms start-up) (V/ms)</t>
  </si>
  <si>
    <t>min slew rate</t>
  </si>
  <si>
    <t>Min Slew Rate (400 ms start - up) (V/ms)</t>
  </si>
  <si>
    <t># of points</t>
  </si>
  <si>
    <t>mult per point</t>
  </si>
  <si>
    <t>slew rate (V/ms)</t>
  </si>
  <si>
    <t>t_start (ms)</t>
  </si>
  <si>
    <t>I_cap (A)</t>
  </si>
  <si>
    <t>Total FET Energy (J)</t>
  </si>
  <si>
    <t>Power (Vout= 0) , (W)</t>
  </si>
  <si>
    <t>Power (load on), (W)</t>
  </si>
  <si>
    <t>Vout (dP/dVout = 0) (V)</t>
  </si>
  <si>
    <t xml:space="preserve">Power (@ Vout above, if applicable) </t>
  </si>
  <si>
    <t>max power (W)</t>
  </si>
  <si>
    <t>Equivalent time for SOA (ms)</t>
  </si>
  <si>
    <t>Available SOA (W)</t>
  </si>
  <si>
    <t>Derated for Temp</t>
  </si>
  <si>
    <t>SOA Margin</t>
  </si>
  <si>
    <t xml:space="preserve">Pass? </t>
  </si>
  <si>
    <t>N</t>
  </si>
  <si>
    <t>first yes</t>
  </si>
  <si>
    <t>2nd yes</t>
  </si>
  <si>
    <t>Mult 1</t>
  </si>
  <si>
    <t>mult2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</si>
</sst>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49">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right/>
      <top style="thin">
        <color indexed="64"/>
      </top>
      <bottom style="thin">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4" fillId="0" borderId="0" applyNumberFormat="0" applyFill="0" applyBorder="0" applyAlignment="0" applyProtection="0">
      <alignment vertical="top"/>
      <protection locked="0"/>
    </xf>
    <xf numFmtId="0" fontId="3" fillId="0" borderId="0"/>
    <xf numFmtId="0" fontId="3" fillId="2" borderId="0">
      <alignment horizontal="center"/>
    </xf>
    <xf numFmtId="0" fontId="3" fillId="5" borderId="1">
      <alignment horizontal="center" vertical="center"/>
      <protection locked="0"/>
    </xf>
    <xf numFmtId="0" fontId="3" fillId="9" borderId="1">
      <alignment horizontal="center" vertical="center"/>
      <protection locked="0"/>
    </xf>
    <xf numFmtId="0" fontId="3" fillId="0" borderId="13"/>
    <xf numFmtId="0" fontId="3" fillId="9" borderId="1">
      <alignment horizontal="center" vertical="center"/>
      <protection locked="0"/>
    </xf>
    <xf numFmtId="0" fontId="3" fillId="9" borderId="1">
      <alignment horizontal="center" vertical="center"/>
      <protection locked="0"/>
    </xf>
    <xf numFmtId="0" fontId="3" fillId="9" borderId="1">
      <alignment horizontal="center" vertical="center"/>
      <protection locked="0"/>
    </xf>
    <xf numFmtId="0" fontId="2" fillId="0" borderId="0"/>
    <xf numFmtId="0" fontId="1" fillId="0" borderId="0"/>
  </cellStyleXfs>
  <cellXfs count="354">
    <xf numFmtId="0" fontId="0" fillId="0" borderId="0" xfId="0"/>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4"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xf numFmtId="0" fontId="3" fillId="0" borderId="0" xfId="0" applyFont="1" applyAlignment="1">
      <alignment horizontal="right"/>
    </xf>
    <xf numFmtId="0" fontId="3" fillId="2" borderId="0" xfId="0" applyFont="1" applyFill="1" applyBorder="1" applyAlignment="1">
      <alignment horizontal="left"/>
    </xf>
    <xf numFmtId="0" fontId="0" fillId="3" borderId="0" xfId="0" applyFill="1"/>
    <xf numFmtId="0" fontId="3"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3"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2" fontId="0" fillId="3" borderId="1" xfId="0" applyNumberFormat="1" applyFill="1" applyBorder="1" applyAlignment="1" applyProtection="1">
      <alignment horizont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Alignment="1">
      <alignment horizontal="right"/>
    </xf>
    <xf numFmtId="0" fontId="0" fillId="0" borderId="1" xfId="0" applyFill="1" applyBorder="1" applyAlignment="1" applyProtection="1">
      <alignment horizontal="center" vertical="center"/>
      <protection locked="0"/>
    </xf>
    <xf numFmtId="0" fontId="3" fillId="0" borderId="0" xfId="2" applyAlignment="1" applyProtection="1">
      <alignment horizontal="center"/>
    </xf>
    <xf numFmtId="0" fontId="3" fillId="0" borderId="0" xfId="2"/>
    <xf numFmtId="164" fontId="3" fillId="0" borderId="0" xfId="2" applyNumberFormat="1" applyAlignment="1" applyProtection="1">
      <alignment horizontal="center"/>
    </xf>
    <xf numFmtId="166" fontId="3" fillId="0" borderId="0" xfId="2" applyNumberFormat="1" applyAlignment="1" applyProtection="1">
      <alignment horizontal="center"/>
    </xf>
    <xf numFmtId="2" fontId="3" fillId="0" borderId="25" xfId="2" applyNumberFormat="1" applyBorder="1" applyAlignment="1" applyProtection="1">
      <alignment horizontal="center"/>
    </xf>
    <xf numFmtId="0" fontId="3" fillId="0" borderId="1" xfId="2" applyFont="1" applyBorder="1"/>
    <xf numFmtId="0" fontId="3" fillId="0" borderId="1" xfId="2" applyBorder="1"/>
    <xf numFmtId="0" fontId="3" fillId="0" borderId="0" xfId="0" applyFont="1" applyFill="1" applyBorder="1"/>
    <xf numFmtId="0" fontId="0" fillId="0" borderId="0" xfId="0" applyFill="1" applyBorder="1" applyAlignment="1" applyProtection="1">
      <alignment horizontal="center" vertical="center"/>
      <protection locked="0"/>
    </xf>
    <xf numFmtId="0" fontId="3" fillId="0" borderId="0" xfId="0" applyFont="1" applyFill="1" applyAlignment="1">
      <alignment horizontal="right"/>
    </xf>
    <xf numFmtId="166" fontId="3" fillId="0" borderId="0" xfId="2" applyNumberFormat="1" applyAlignment="1">
      <alignment horizontal="center"/>
    </xf>
    <xf numFmtId="2" fontId="3" fillId="0" borderId="0" xfId="2" applyNumberFormat="1" applyAlignment="1">
      <alignment horizontal="center"/>
    </xf>
    <xf numFmtId="0" fontId="0" fillId="0" borderId="1" xfId="0" applyBorder="1"/>
    <xf numFmtId="0" fontId="0" fillId="0" borderId="0" xfId="0" applyFill="1" applyBorder="1" applyAlignment="1">
      <alignment horizontal="center"/>
    </xf>
    <xf numFmtId="0" fontId="3" fillId="0" borderId="1" xfId="0" applyFont="1" applyBorder="1"/>
    <xf numFmtId="2" fontId="0" fillId="0" borderId="1" xfId="0" applyNumberFormat="1" applyBorder="1"/>
    <xf numFmtId="0" fontId="3" fillId="0" borderId="0" xfId="0" applyFont="1" applyBorder="1"/>
    <xf numFmtId="0" fontId="27" fillId="0" borderId="0" xfId="0" applyFont="1"/>
    <xf numFmtId="0" fontId="28" fillId="0" borderId="0" xfId="0" applyFont="1" applyBorder="1" applyAlignment="1">
      <alignment horizontal="center"/>
    </xf>
    <xf numFmtId="2" fontId="0" fillId="0" borderId="0" xfId="0" applyNumberFormat="1" applyBorder="1"/>
    <xf numFmtId="0" fontId="3" fillId="0" borderId="0" xfId="0" applyFont="1" applyBorder="1" applyAlignment="1">
      <alignment horizontal="right"/>
    </xf>
    <xf numFmtId="2" fontId="3" fillId="0" borderId="0" xfId="0" applyNumberFormat="1" applyFont="1" applyBorder="1" applyAlignment="1">
      <alignment horizontal="left"/>
    </xf>
    <xf numFmtId="0" fontId="3" fillId="0" borderId="0" xfId="0" applyFont="1" applyBorder="1" applyAlignment="1">
      <alignment horizontal="center"/>
    </xf>
    <xf numFmtId="0" fontId="0" fillId="2" borderId="24" xfId="0" applyFill="1" applyBorder="1"/>
    <xf numFmtId="0" fontId="3" fillId="2" borderId="24" xfId="0" applyFont="1" applyFill="1" applyBorder="1" applyAlignment="1">
      <alignment horizontal="right" vertical="center"/>
    </xf>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3" fillId="2" borderId="26" xfId="0" applyFont="1" applyFill="1" applyBorder="1" applyAlignment="1">
      <alignment horizontal="right" vertical="center"/>
    </xf>
    <xf numFmtId="0" fontId="4" fillId="2" borderId="25" xfId="0" applyFont="1" applyFill="1" applyBorder="1"/>
    <xf numFmtId="0" fontId="3" fillId="2" borderId="24" xfId="0" applyFont="1" applyFill="1" applyBorder="1" applyAlignment="1">
      <alignment horizontal="right"/>
    </xf>
    <xf numFmtId="0" fontId="0" fillId="0" borderId="25" xfId="0" applyBorder="1"/>
    <xf numFmtId="0" fontId="0" fillId="0" borderId="0" xfId="0" applyAlignment="1">
      <alignment horizontal="left"/>
    </xf>
    <xf numFmtId="2"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4" fillId="2" borderId="0" xfId="0" applyFont="1" applyFill="1" applyBorder="1" applyAlignment="1">
      <alignment horizontal="right"/>
    </xf>
    <xf numFmtId="0" fontId="4" fillId="2" borderId="0" xfId="0" applyFont="1" applyFill="1" applyBorder="1" applyAlignment="1">
      <alignment horizontal="center"/>
    </xf>
    <xf numFmtId="0" fontId="8" fillId="2" borderId="0" xfId="0" applyFont="1" applyFill="1" applyBorder="1"/>
    <xf numFmtId="0" fontId="0" fillId="2" borderId="30" xfId="0" applyFill="1" applyBorder="1"/>
    <xf numFmtId="0" fontId="3" fillId="2" borderId="29" xfId="0" applyFont="1" applyFill="1" applyBorder="1"/>
    <xf numFmtId="0" fontId="21"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3" fillId="2" borderId="13" xfId="0" applyFont="1" applyFill="1" applyBorder="1" applyAlignment="1">
      <alignment horizontal="right" vertical="center"/>
    </xf>
    <xf numFmtId="0" fontId="3"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3" fillId="2" borderId="7" xfId="0" applyFont="1" applyFill="1" applyBorder="1" applyAlignment="1">
      <alignment horizontal="right"/>
    </xf>
    <xf numFmtId="0" fontId="0" fillId="5" borderId="0" xfId="0" applyFill="1" applyBorder="1"/>
    <xf numFmtId="0" fontId="3" fillId="5" borderId="0" xfId="0" applyFont="1" applyFill="1" applyBorder="1" applyAlignment="1">
      <alignment horizontal="right" vertical="center"/>
    </xf>
    <xf numFmtId="0" fontId="0" fillId="6" borderId="0" xfId="0" applyFill="1" applyBorder="1"/>
    <xf numFmtId="0" fontId="3" fillId="6" borderId="0" xfId="0" applyFont="1" applyFill="1" applyBorder="1" applyAlignment="1">
      <alignment horizontal="right" vertical="center"/>
    </xf>
    <xf numFmtId="1" fontId="3" fillId="2" borderId="1" xfId="0" applyNumberFormat="1" applyFont="1" applyFill="1" applyBorder="1" applyAlignment="1">
      <alignment horizontal="center" vertical="center"/>
    </xf>
    <xf numFmtId="0" fontId="16" fillId="0" borderId="0" xfId="0" applyFont="1" applyFill="1" applyBorder="1" applyProtection="1"/>
    <xf numFmtId="0" fontId="0" fillId="2" borderId="28" xfId="0" applyFill="1" applyBorder="1"/>
    <xf numFmtId="0" fontId="3" fillId="2" borderId="0" xfId="0" applyFont="1" applyFill="1" applyBorder="1"/>
    <xf numFmtId="0" fontId="21" fillId="2" borderId="24" xfId="0" applyFont="1" applyFill="1" applyBorder="1" applyAlignment="1">
      <alignment horizontal="right" vertical="center"/>
    </xf>
    <xf numFmtId="14" fontId="3" fillId="2" borderId="0" xfId="0" applyNumberFormat="1" applyFont="1" applyFill="1" applyBorder="1" applyAlignment="1">
      <alignment horizontal="center"/>
    </xf>
    <xf numFmtId="0" fontId="3" fillId="2" borderId="26" xfId="0" applyFont="1" applyFill="1" applyBorder="1" applyAlignment="1">
      <alignment horizontal="left"/>
    </xf>
    <xf numFmtId="0" fontId="4" fillId="2" borderId="0" xfId="0" applyFont="1" applyFill="1" applyBorder="1"/>
    <xf numFmtId="0" fontId="4" fillId="2" borderId="29" xfId="0" applyFont="1" applyFill="1" applyBorder="1" applyAlignment="1">
      <alignment horizontal="left"/>
    </xf>
    <xf numFmtId="0" fontId="0" fillId="2" borderId="2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9" fillId="0" borderId="0" xfId="0" applyFont="1"/>
    <xf numFmtId="0" fontId="3" fillId="2" borderId="32" xfId="0" applyFont="1" applyFill="1" applyBorder="1" applyAlignment="1">
      <alignment horizontal="right" vertical="center"/>
    </xf>
    <xf numFmtId="2" fontId="0" fillId="3" borderId="11" xfId="0" applyNumberFormat="1" applyFill="1" applyBorder="1" applyAlignment="1" applyProtection="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pplyProtection="1">
      <alignment horizontal="center"/>
    </xf>
    <xf numFmtId="1" fontId="3"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3" fillId="8" borderId="0" xfId="0" applyFont="1" applyFill="1" applyBorder="1" applyAlignment="1">
      <alignment horizontal="right" vertical="center"/>
    </xf>
    <xf numFmtId="0" fontId="23" fillId="7" borderId="23" xfId="0" applyFont="1" applyFill="1" applyBorder="1"/>
    <xf numFmtId="0" fontId="0" fillId="3" borderId="29" xfId="0" applyFill="1" applyBorder="1"/>
    <xf numFmtId="0" fontId="3" fillId="0" borderId="1" xfId="0" applyFont="1" applyBorder="1" applyAlignment="1">
      <alignment horizontal="center"/>
    </xf>
    <xf numFmtId="0" fontId="3"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3"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3"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3" fillId="0" borderId="1" xfId="0" applyFont="1" applyFill="1" applyBorder="1" applyAlignment="1">
      <alignment horizontal="center"/>
    </xf>
    <xf numFmtId="0" fontId="3" fillId="0" borderId="6" xfId="0" applyFont="1" applyFill="1" applyBorder="1" applyAlignment="1">
      <alignment horizontal="center"/>
    </xf>
    <xf numFmtId="0" fontId="27" fillId="0" borderId="0" xfId="2" applyFont="1"/>
    <xf numFmtId="165" fontId="0" fillId="0" borderId="1" xfId="0" applyNumberFormat="1" applyFill="1" applyBorder="1" applyAlignment="1" applyProtection="1">
      <alignment horizontal="center" vertical="center"/>
    </xf>
    <xf numFmtId="0" fontId="3" fillId="3" borderId="0" xfId="0" applyFont="1" applyFill="1" applyBorder="1" applyAlignment="1">
      <alignment horizontal="right" vertical="center"/>
    </xf>
    <xf numFmtId="0" fontId="3" fillId="3" borderId="0" xfId="0" applyFont="1" applyFill="1" applyAlignment="1">
      <alignment horizontal="right"/>
    </xf>
    <xf numFmtId="0" fontId="3" fillId="0" borderId="13" xfId="0" applyFont="1" applyBorder="1" applyAlignment="1">
      <alignment horizontal="center"/>
    </xf>
    <xf numFmtId="0" fontId="3" fillId="2" borderId="33"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13" xfId="0" applyFill="1" applyBorder="1" applyAlignment="1">
      <alignment horizontal="center" vertical="center"/>
    </xf>
    <xf numFmtId="0" fontId="3" fillId="2" borderId="31" xfId="0" applyFont="1" applyFill="1" applyBorder="1" applyAlignment="1">
      <alignment horizontal="center" vertical="center"/>
    </xf>
    <xf numFmtId="0" fontId="0" fillId="0" borderId="33" xfId="0"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3" fillId="2" borderId="7" xfId="0" applyFont="1" applyFill="1" applyBorder="1" applyAlignment="1">
      <alignment horizontal="center" vertical="center"/>
    </xf>
    <xf numFmtId="0" fontId="0" fillId="2" borderId="7" xfId="0" applyFill="1" applyBorder="1" applyAlignment="1">
      <alignment horizontal="center"/>
    </xf>
    <xf numFmtId="0" fontId="3" fillId="2" borderId="7" xfId="0" applyFont="1" applyFill="1" applyBorder="1" applyAlignment="1">
      <alignment horizontal="center"/>
    </xf>
    <xf numFmtId="0" fontId="10"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3" fillId="0" borderId="0" xfId="0" applyFont="1" applyFill="1" applyBorder="1" applyAlignment="1">
      <alignment horizontal="right"/>
    </xf>
    <xf numFmtId="0" fontId="27" fillId="0" borderId="0" xfId="0" applyFont="1" applyBorder="1" applyAlignment="1">
      <alignment horizontal="left"/>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3" fillId="2" borderId="0" xfId="0" applyFont="1" applyFill="1"/>
    <xf numFmtId="0" fontId="3" fillId="6" borderId="16"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3" fillId="0" borderId="1" xfId="0" applyFont="1" applyFill="1" applyBorder="1"/>
    <xf numFmtId="0" fontId="27" fillId="0" borderId="0" xfId="0" applyFont="1" applyAlignment="1">
      <alignment horizontal="center"/>
    </xf>
    <xf numFmtId="0" fontId="0" fillId="0" borderId="0" xfId="0" applyBorder="1" applyAlignment="1">
      <alignment horizontal="center"/>
    </xf>
    <xf numFmtId="0" fontId="0" fillId="2" borderId="6" xfId="0" applyFill="1" applyBorder="1"/>
    <xf numFmtId="165" fontId="3" fillId="0" borderId="0" xfId="2" applyNumberFormat="1" applyAlignment="1">
      <alignment horizontal="center"/>
    </xf>
    <xf numFmtId="165" fontId="3" fillId="0" borderId="0" xfId="2" applyNumberFormat="1"/>
    <xf numFmtId="0" fontId="27" fillId="10" borderId="0" xfId="0" applyFont="1" applyFill="1"/>
    <xf numFmtId="2" fontId="27" fillId="0" borderId="0" xfId="0" applyNumberFormat="1" applyFont="1" applyBorder="1" applyAlignment="1">
      <alignment horizontal="center"/>
    </xf>
    <xf numFmtId="0" fontId="29" fillId="4" borderId="1" xfId="0" applyFont="1" applyFill="1" applyBorder="1" applyAlignment="1">
      <alignment horizontal="center"/>
    </xf>
    <xf numFmtId="0" fontId="0" fillId="5" borderId="1" xfId="0" applyFill="1" applyBorder="1" applyAlignment="1">
      <alignment horizontal="center"/>
    </xf>
    <xf numFmtId="2" fontId="3"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3" fillId="0" borderId="0" xfId="0" applyFont="1" applyFill="1"/>
    <xf numFmtId="0" fontId="3" fillId="0" borderId="0" xfId="0" applyFont="1" applyFill="1" applyAlignment="1">
      <alignment horizontal="center"/>
    </xf>
    <xf numFmtId="2" fontId="3" fillId="0" borderId="0" xfId="0" applyNumberFormat="1" applyFont="1" applyFill="1"/>
    <xf numFmtId="0" fontId="4"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Border="1" applyProtection="1"/>
    <xf numFmtId="0" fontId="36" fillId="11" borderId="0" xfId="0" applyFont="1" applyFill="1" applyProtection="1"/>
    <xf numFmtId="0" fontId="0" fillId="11" borderId="0" xfId="0" applyFill="1" applyProtection="1"/>
    <xf numFmtId="0" fontId="37" fillId="11" borderId="0" xfId="0" applyFont="1" applyFill="1" applyAlignment="1" applyProtection="1"/>
    <xf numFmtId="0" fontId="37" fillId="11" borderId="0" xfId="0" applyFont="1" applyFill="1" applyAlignment="1" applyProtection="1">
      <alignment wrapText="1"/>
    </xf>
    <xf numFmtId="0" fontId="38" fillId="11" borderId="0" xfId="0" applyFont="1" applyFill="1" applyAlignment="1" applyProtection="1">
      <alignment vertical="center"/>
    </xf>
    <xf numFmtId="0" fontId="38" fillId="11" borderId="0" xfId="0" applyFont="1" applyFill="1" applyProtection="1"/>
    <xf numFmtId="0" fontId="3" fillId="11" borderId="0" xfId="0" applyFont="1" applyFill="1" applyBorder="1" applyProtection="1"/>
    <xf numFmtId="0" fontId="0" fillId="5" borderId="1" xfId="0" applyFill="1" applyBorder="1" applyAlignment="1" applyProtection="1">
      <alignment horizontal="center" vertical="center"/>
      <protection locked="0"/>
    </xf>
    <xf numFmtId="0" fontId="3" fillId="0" borderId="0" xfId="0" applyFont="1" applyAlignment="1">
      <alignment horizontal="center"/>
    </xf>
    <xf numFmtId="0" fontId="0" fillId="0" borderId="0" xfId="0" applyBorder="1"/>
    <xf numFmtId="0" fontId="0" fillId="0" borderId="0" xfId="0"/>
    <xf numFmtId="0" fontId="3" fillId="0" borderId="0" xfId="0" applyFont="1"/>
    <xf numFmtId="0" fontId="0" fillId="2" borderId="25" xfId="0" applyFill="1" applyBorder="1" applyAlignment="1">
      <alignment horizontal="right"/>
    </xf>
    <xf numFmtId="0" fontId="3" fillId="2" borderId="1" xfId="0" applyFont="1" applyFill="1" applyBorder="1" applyAlignment="1">
      <alignment horizontal="right"/>
    </xf>
    <xf numFmtId="0" fontId="3" fillId="0" borderId="1" xfId="0" applyFont="1" applyBorder="1" applyAlignment="1">
      <alignment horizontal="right"/>
    </xf>
    <xf numFmtId="164" fontId="3" fillId="2" borderId="1" xfId="0" applyNumberFormat="1" applyFont="1" applyFill="1" applyBorder="1" applyAlignment="1">
      <alignment horizontal="right"/>
    </xf>
    <xf numFmtId="0" fontId="0" fillId="12" borderId="23" xfId="0" applyFill="1" applyBorder="1"/>
    <xf numFmtId="0" fontId="3" fillId="12" borderId="24" xfId="0" applyFont="1" applyFill="1" applyBorder="1" applyAlignment="1">
      <alignment horizontal="center"/>
    </xf>
    <xf numFmtId="0" fontId="4" fillId="12" borderId="24" xfId="0" applyFont="1" applyFill="1" applyBorder="1" applyAlignment="1">
      <alignment horizontal="center"/>
    </xf>
    <xf numFmtId="0" fontId="4" fillId="12" borderId="28" xfId="0" applyFont="1" applyFill="1" applyBorder="1" applyAlignment="1">
      <alignment horizontal="left"/>
    </xf>
    <xf numFmtId="0" fontId="0" fillId="2" borderId="18" xfId="0" applyFill="1" applyBorder="1"/>
    <xf numFmtId="0" fontId="3" fillId="2" borderId="19" xfId="0" applyFont="1" applyFill="1" applyBorder="1"/>
    <xf numFmtId="0" fontId="0" fillId="2" borderId="20" xfId="0" applyFill="1" applyBorder="1"/>
    <xf numFmtId="164" fontId="3" fillId="2" borderId="21" xfId="0" applyNumberFormat="1" applyFont="1" applyFill="1" applyBorder="1" applyAlignment="1">
      <alignment horizontal="right"/>
    </xf>
    <xf numFmtId="0" fontId="3" fillId="2" borderId="22" xfId="0" applyFont="1" applyFill="1" applyBorder="1"/>
    <xf numFmtId="0" fontId="14" fillId="11" borderId="0" xfId="1" applyFill="1" applyAlignment="1" applyProtection="1"/>
    <xf numFmtId="0" fontId="3" fillId="11" borderId="40" xfId="2" applyFill="1" applyBorder="1" applyProtection="1"/>
    <xf numFmtId="0" fontId="3" fillId="11" borderId="41" xfId="2" applyFill="1" applyBorder="1" applyProtection="1"/>
    <xf numFmtId="0" fontId="3" fillId="11" borderId="42" xfId="2" applyFill="1" applyBorder="1" applyProtection="1"/>
    <xf numFmtId="0" fontId="3" fillId="6" borderId="11"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3" fillId="2" borderId="0" xfId="0" applyFont="1" applyFill="1" applyBorder="1" applyAlignment="1">
      <alignment horizontal="left" vertical="center" wrapText="1"/>
    </xf>
    <xf numFmtId="0" fontId="29" fillId="3" borderId="0" xfId="0" applyFont="1" applyFill="1" applyBorder="1" applyAlignment="1">
      <alignment horizontal="center"/>
    </xf>
    <xf numFmtId="0" fontId="3" fillId="2" borderId="0" xfId="2" applyFill="1" applyBorder="1"/>
    <xf numFmtId="0" fontId="3" fillId="2" borderId="0" xfId="2" applyFont="1" applyFill="1" applyBorder="1" applyAlignment="1">
      <alignment horizontal="right" vertical="center"/>
    </xf>
    <xf numFmtId="0" fontId="3" fillId="2" borderId="24" xfId="2" applyFill="1" applyBorder="1"/>
    <xf numFmtId="0" fontId="3" fillId="2" borderId="25" xfId="2" applyFill="1" applyBorder="1"/>
    <xf numFmtId="0" fontId="3" fillId="2" borderId="27" xfId="2" applyFill="1" applyBorder="1"/>
    <xf numFmtId="0" fontId="3" fillId="2" borderId="26" xfId="2" applyFill="1" applyBorder="1"/>
    <xf numFmtId="0" fontId="3" fillId="2" borderId="29" xfId="2" applyFill="1" applyBorder="1"/>
    <xf numFmtId="0" fontId="3" fillId="2" borderId="30" xfId="2" applyFill="1" applyBorder="1"/>
    <xf numFmtId="0" fontId="3" fillId="2" borderId="28" xfId="2" applyFill="1" applyBorder="1"/>
    <xf numFmtId="0" fontId="3" fillId="2" borderId="0" xfId="2" applyFont="1" applyFill="1" applyBorder="1"/>
    <xf numFmtId="0" fontId="23" fillId="7" borderId="23" xfId="2" applyFont="1" applyFill="1" applyBorder="1"/>
    <xf numFmtId="0" fontId="23" fillId="3" borderId="25" xfId="2" applyFont="1" applyFill="1" applyBorder="1"/>
    <xf numFmtId="0" fontId="44" fillId="2" borderId="0" xfId="2" applyFont="1" applyFill="1" applyBorder="1"/>
    <xf numFmtId="0" fontId="44" fillId="2" borderId="0" xfId="2" applyFont="1" applyFill="1" applyBorder="1" applyAlignment="1">
      <alignment horizontal="right" vertical="center"/>
    </xf>
    <xf numFmtId="0" fontId="3" fillId="2" borderId="26" xfId="2" applyFont="1" applyFill="1" applyBorder="1" applyAlignment="1">
      <alignment horizontal="center" vertical="center"/>
    </xf>
    <xf numFmtId="0" fontId="3" fillId="2" borderId="26" xfId="2" applyFont="1" applyFill="1" applyBorder="1"/>
    <xf numFmtId="0" fontId="41" fillId="2" borderId="25" xfId="2" applyFont="1" applyFill="1" applyBorder="1" applyAlignment="1">
      <alignment vertical="top" wrapText="1"/>
    </xf>
    <xf numFmtId="0" fontId="3" fillId="2" borderId="0" xfId="2" applyFont="1" applyFill="1" applyBorder="1" applyAlignment="1">
      <alignment horizontal="center" vertical="center"/>
    </xf>
    <xf numFmtId="0" fontId="45" fillId="2" borderId="24"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2" applyFont="1" applyFill="1" applyBorder="1"/>
    <xf numFmtId="0" fontId="44" fillId="3" borderId="24" xfId="2" applyFont="1" applyFill="1" applyBorder="1"/>
    <xf numFmtId="0" fontId="3" fillId="2" borderId="26" xfId="2" applyFont="1" applyFill="1" applyBorder="1" applyAlignment="1">
      <alignment vertical="top" wrapText="1"/>
    </xf>
    <xf numFmtId="0" fontId="37" fillId="6" borderId="46" xfId="2" applyFont="1" applyFill="1" applyBorder="1" applyAlignment="1" applyProtection="1">
      <alignment horizontal="center" vertical="top"/>
      <protection locked="0"/>
    </xf>
    <xf numFmtId="0" fontId="37" fillId="6" borderId="48" xfId="2" applyFont="1" applyFill="1" applyBorder="1" applyAlignment="1" applyProtection="1">
      <alignment horizontal="center" vertical="top"/>
      <protection locked="0"/>
    </xf>
    <xf numFmtId="0" fontId="47" fillId="2" borderId="0" xfId="1" applyFont="1" applyFill="1" applyBorder="1" applyAlignment="1" applyProtection="1"/>
    <xf numFmtId="0" fontId="0" fillId="9"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39" fillId="2" borderId="25" xfId="0" applyFont="1" applyFill="1" applyBorder="1" applyAlignment="1">
      <alignment vertical="top" wrapText="1"/>
    </xf>
    <xf numFmtId="0" fontId="14" fillId="3" borderId="25" xfId="1" applyFill="1" applyBorder="1" applyAlignment="1" applyProtection="1">
      <alignment horizontal="left"/>
    </xf>
    <xf numFmtId="0" fontId="14" fillId="3" borderId="25" xfId="1" applyFill="1" applyBorder="1" applyAlignment="1" applyProtection="1"/>
    <xf numFmtId="0" fontId="14" fillId="2" borderId="25" xfId="1" applyFill="1" applyBorder="1" applyAlignment="1" applyProtection="1"/>
    <xf numFmtId="0" fontId="3" fillId="2" borderId="24" xfId="0" applyFont="1" applyFill="1" applyBorder="1" applyAlignment="1">
      <alignment horizontal="center" vertical="center"/>
    </xf>
    <xf numFmtId="0" fontId="3" fillId="6" borderId="16" xfId="0" applyFont="1" applyFill="1" applyBorder="1" applyAlignment="1" applyProtection="1">
      <alignment horizontal="left" vertical="center"/>
      <protection locked="0"/>
    </xf>
    <xf numFmtId="0" fontId="45" fillId="2" borderId="0" xfId="1" applyFont="1" applyFill="1" applyBorder="1" applyAlignment="1" applyProtection="1">
      <alignment horizontal="left"/>
    </xf>
    <xf numFmtId="0" fontId="3" fillId="2" borderId="0" xfId="0" applyFont="1" applyFill="1" applyAlignment="1">
      <alignment horizontal="left" vertical="center" wrapText="1"/>
    </xf>
    <xf numFmtId="0" fontId="0" fillId="0" borderId="0" xfId="0" applyAlignment="1">
      <alignment horizontal="center"/>
    </xf>
    <xf numFmtId="0" fontId="26" fillId="0" borderId="0" xfId="0" applyFont="1" applyFill="1" applyAlignment="1">
      <alignment horizontal="center"/>
    </xf>
    <xf numFmtId="0" fontId="4" fillId="0" borderId="0" xfId="0" applyFont="1" applyFill="1" applyAlignment="1">
      <alignment horizontal="center"/>
    </xf>
    <xf numFmtId="0" fontId="27" fillId="0" borderId="0" xfId="0" applyFont="1" applyBorder="1" applyAlignment="1">
      <alignment horizontal="center"/>
    </xf>
    <xf numFmtId="2" fontId="0" fillId="0" borderId="0" xfId="0" applyNumberFormat="1" applyBorder="1" applyAlignment="1">
      <alignment horizontal="center"/>
    </xf>
    <xf numFmtId="0" fontId="14" fillId="11" borderId="0" xfId="1" applyFill="1" applyAlignment="1" applyProtection="1">
      <protection locked="0"/>
    </xf>
    <xf numFmtId="0" fontId="14" fillId="0" borderId="0" xfId="1" applyAlignment="1" applyProtection="1">
      <protection locked="0"/>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30" xfId="0" applyFont="1" applyBorder="1" applyAlignment="1">
      <alignment horizontal="center" vertical="center" wrapText="1"/>
    </xf>
    <xf numFmtId="0" fontId="39" fillId="2" borderId="25" xfId="0" applyFont="1" applyFill="1" applyBorder="1" applyAlignment="1">
      <alignment horizontal="left" vertical="top"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32" fillId="2" borderId="25" xfId="0" applyFont="1" applyFill="1" applyBorder="1" applyAlignment="1">
      <alignment horizontal="left" vertical="top" wrapText="1"/>
    </xf>
    <xf numFmtId="0" fontId="32" fillId="2" borderId="0" xfId="0" applyFont="1" applyFill="1" applyBorder="1" applyAlignment="1">
      <alignment horizontal="left" vertical="top" wrapText="1"/>
    </xf>
    <xf numFmtId="0" fontId="43" fillId="2" borderId="25" xfId="2" applyFont="1" applyFill="1" applyBorder="1" applyAlignment="1">
      <alignment horizontal="left" vertical="top" wrapText="1"/>
    </xf>
    <xf numFmtId="0" fontId="43" fillId="2" borderId="24"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4" xfId="2" applyFont="1" applyFill="1" applyBorder="1" applyAlignment="1">
      <alignment horizontal="left" vertical="top" wrapText="1"/>
    </xf>
    <xf numFmtId="0" fontId="46" fillId="5" borderId="45" xfId="2" applyFont="1" applyFill="1" applyBorder="1" applyAlignment="1">
      <alignment horizontal="left" vertical="top" wrapText="1"/>
    </xf>
    <xf numFmtId="0" fontId="46" fillId="5" borderId="47" xfId="2" applyFont="1" applyFill="1" applyBorder="1" applyAlignment="1">
      <alignment horizontal="left" vertical="top" wrapText="1"/>
    </xf>
    <xf numFmtId="0" fontId="14" fillId="2" borderId="0" xfId="1" applyFill="1" applyBorder="1" applyAlignment="1" applyProtection="1">
      <alignment horizontal="left" wrapText="1"/>
    </xf>
    <xf numFmtId="0" fontId="45" fillId="2" borderId="0" xfId="1" applyFont="1" applyFill="1" applyBorder="1" applyAlignment="1" applyProtection="1">
      <alignment horizontal="left"/>
    </xf>
    <xf numFmtId="0" fontId="23" fillId="5" borderId="49" xfId="2" applyFont="1" applyFill="1" applyBorder="1" applyAlignment="1">
      <alignment horizontal="left" wrapText="1"/>
    </xf>
    <xf numFmtId="0" fontId="3" fillId="5" borderId="50" xfId="2" applyFill="1" applyBorder="1" applyAlignment="1">
      <alignment horizontal="left" wrapText="1"/>
    </xf>
    <xf numFmtId="0" fontId="3" fillId="5" borderId="46" xfId="2" applyFill="1" applyBorder="1" applyAlignment="1">
      <alignment horizontal="left" wrapText="1"/>
    </xf>
    <xf numFmtId="0" fontId="14" fillId="3" borderId="25" xfId="1" applyFill="1" applyBorder="1" applyAlignment="1" applyProtection="1">
      <alignment horizontal="left" wrapText="1"/>
    </xf>
    <xf numFmtId="0" fontId="32" fillId="2" borderId="0" xfId="2" applyFont="1" applyFill="1" applyBorder="1" applyAlignment="1">
      <alignment horizontal="left" vertical="top" wrapText="1"/>
    </xf>
    <xf numFmtId="0" fontId="32" fillId="2" borderId="26" xfId="2" applyFont="1" applyFill="1" applyBorder="1" applyAlignment="1">
      <alignment horizontal="left" vertical="top" wrapText="1"/>
    </xf>
    <xf numFmtId="0" fontId="14" fillId="3" borderId="25" xfId="1" applyFill="1" applyBorder="1" applyAlignment="1" applyProtection="1">
      <alignment horizontal="left" vertical="top" wrapText="1"/>
    </xf>
    <xf numFmtId="0" fontId="0" fillId="0" borderId="0" xfId="0" applyAlignment="1">
      <alignment horizontal="center"/>
    </xf>
    <xf numFmtId="0" fontId="26" fillId="0" borderId="0" xfId="0" applyFont="1" applyFill="1" applyAlignment="1">
      <alignment horizontal="center"/>
    </xf>
    <xf numFmtId="0" fontId="27" fillId="0" borderId="0" xfId="0" applyFont="1" applyFill="1" applyAlignment="1">
      <alignment horizontal="center"/>
    </xf>
    <xf numFmtId="0" fontId="4" fillId="0" borderId="0" xfId="0" applyFont="1" applyFill="1" applyAlignment="1">
      <alignment horizontal="center"/>
    </xf>
    <xf numFmtId="0" fontId="26" fillId="0" borderId="1" xfId="2" applyFont="1" applyBorder="1" applyAlignment="1">
      <alignment horizontal="center"/>
    </xf>
    <xf numFmtId="0" fontId="3" fillId="0" borderId="2"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center"/>
    </xf>
    <xf numFmtId="0" fontId="27" fillId="0" borderId="0" xfId="0" applyFont="1" applyBorder="1" applyAlignment="1">
      <alignment horizontal="center"/>
    </xf>
    <xf numFmtId="2" fontId="3" fillId="0" borderId="0" xfId="0" applyNumberFormat="1" applyFont="1" applyBorder="1" applyAlignment="1">
      <alignment horizontal="center"/>
    </xf>
    <xf numFmtId="2" fontId="0" fillId="0" borderId="0" xfId="0" applyNumberFormat="1" applyBorder="1" applyAlignment="1">
      <alignment horizontal="center"/>
    </xf>
  </cellXfs>
  <cellStyles count="12">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Normal 3 2" xfId="11" xr:uid="{00000000-0005-0000-0000-000008000000}"/>
    <cellStyle name="Style 1" xfId="3" xr:uid="{00000000-0005-0000-0000-000009000000}"/>
    <cellStyle name="Style 2" xfId="4" xr:uid="{00000000-0005-0000-0000-00000A000000}"/>
    <cellStyle name="UNIT" xfId="6" xr:uid="{00000000-0005-0000-0000-00000B000000}"/>
  </cellStyles>
  <dxfs count="40">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(t=Tfault)</c:v>
          </c:tx>
          <c:spPr>
            <a:ln w="25400">
              <a:solidFill>
                <a:srgbClr val="008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Equations!$V$184:$V$263</c:f>
              <c:numCache>
                <c:formatCode>0.00</c:formatCode>
                <c:ptCount val="80"/>
                <c:pt idx="0">
                  <c:v>1623.398716787676</c:v>
                </c:pt>
                <c:pt idx="1">
                  <c:v>811.699358393838</c:v>
                </c:pt>
                <c:pt idx="2">
                  <c:v>541.132905595892</c:v>
                </c:pt>
                <c:pt idx="3">
                  <c:v>405.849679196919</c:v>
                </c:pt>
                <c:pt idx="4">
                  <c:v>324.67974335753519</c:v>
                </c:pt>
                <c:pt idx="5">
                  <c:v>270.566452797946</c:v>
                </c:pt>
                <c:pt idx="6">
                  <c:v>231.91410239823944</c:v>
                </c:pt>
                <c:pt idx="7">
                  <c:v>202.9248395984595</c:v>
                </c:pt>
                <c:pt idx="8">
                  <c:v>180.37763519863066</c:v>
                </c:pt>
                <c:pt idx="9">
                  <c:v>162.33987167876759</c:v>
                </c:pt>
                <c:pt idx="10">
                  <c:v>147.58170152615236</c:v>
                </c:pt>
                <c:pt idx="11">
                  <c:v>135.283226398973</c:v>
                </c:pt>
                <c:pt idx="12">
                  <c:v>124.87682436828277</c:v>
                </c:pt>
                <c:pt idx="13">
                  <c:v>115.95705119911972</c:v>
                </c:pt>
                <c:pt idx="14">
                  <c:v>108.22658111917841</c:v>
                </c:pt>
                <c:pt idx="15">
                  <c:v>101.46241979922975</c:v>
                </c:pt>
                <c:pt idx="16">
                  <c:v>95.494042163980936</c:v>
                </c:pt>
                <c:pt idx="17">
                  <c:v>90.188817599315328</c:v>
                </c:pt>
                <c:pt idx="18">
                  <c:v>85.442037725667163</c:v>
                </c:pt>
                <c:pt idx="19">
                  <c:v>81.169935839383797</c:v>
                </c:pt>
                <c:pt idx="20">
                  <c:v>77.304700799413141</c:v>
                </c:pt>
                <c:pt idx="21">
                  <c:v>73.790850763076179</c:v>
                </c:pt>
                <c:pt idx="22">
                  <c:v>70.582552903812001</c:v>
                </c:pt>
                <c:pt idx="23">
                  <c:v>67.6416131994865</c:v>
                </c:pt>
                <c:pt idx="24">
                  <c:v>64.935948671507035</c:v>
                </c:pt>
                <c:pt idx="25">
                  <c:v>62.438412184141384</c:v>
                </c:pt>
                <c:pt idx="26">
                  <c:v>60.125878399543552</c:v>
                </c:pt>
                <c:pt idx="27">
                  <c:v>57.978525599559859</c:v>
                </c:pt>
                <c:pt idx="28">
                  <c:v>55.979266096126757</c:v>
                </c:pt>
                <c:pt idx="29">
                  <c:v>54.113290559589203</c:v>
                </c:pt>
                <c:pt idx="30">
                  <c:v>52.367700541537936</c:v>
                </c:pt>
                <c:pt idx="31">
                  <c:v>50.731209899614875</c:v>
                </c:pt>
                <c:pt idx="32">
                  <c:v>49.193900508717455</c:v>
                </c:pt>
                <c:pt idx="33">
                  <c:v>47.747021081990468</c:v>
                </c:pt>
                <c:pt idx="34">
                  <c:v>46.382820479647883</c:v>
                </c:pt>
                <c:pt idx="35">
                  <c:v>45.094408799657664</c:v>
                </c:pt>
                <c:pt idx="36">
                  <c:v>43.875640994261516</c:v>
                </c:pt>
                <c:pt idx="37">
                  <c:v>42.721018862833581</c:v>
                </c:pt>
                <c:pt idx="38">
                  <c:v>41.625608122760923</c:v>
                </c:pt>
                <c:pt idx="39">
                  <c:v>40.584967919691898</c:v>
                </c:pt>
                <c:pt idx="40">
                  <c:v>39.59509065335795</c:v>
                </c:pt>
                <c:pt idx="41">
                  <c:v>38.65235039970657</c:v>
                </c:pt>
                <c:pt idx="42">
                  <c:v>37.753458529945952</c:v>
                </c:pt>
                <c:pt idx="43">
                  <c:v>36.895425381538089</c:v>
                </c:pt>
                <c:pt idx="44">
                  <c:v>36.075527039726133</c:v>
                </c:pt>
                <c:pt idx="45">
                  <c:v>35.291276451906</c:v>
                </c:pt>
                <c:pt idx="46">
                  <c:v>34.540398229525024</c:v>
                </c:pt>
                <c:pt idx="47">
                  <c:v>33.82080659974325</c:v>
                </c:pt>
                <c:pt idx="48">
                  <c:v>33.130586056891346</c:v>
                </c:pt>
                <c:pt idx="49">
                  <c:v>32.467974335753517</c:v>
                </c:pt>
                <c:pt idx="50">
                  <c:v>31.831347387993645</c:v>
                </c:pt>
                <c:pt idx="51">
                  <c:v>31.219206092070692</c:v>
                </c:pt>
                <c:pt idx="52">
                  <c:v>30.630164467692001</c:v>
                </c:pt>
                <c:pt idx="53">
                  <c:v>30.062939199771776</c:v>
                </c:pt>
                <c:pt idx="54">
                  <c:v>29.516340305230472</c:v>
                </c:pt>
                <c:pt idx="55">
                  <c:v>28.989262799779929</c:v>
                </c:pt>
                <c:pt idx="56">
                  <c:v>28.480679241889053</c:v>
                </c:pt>
                <c:pt idx="57">
                  <c:v>27.989633048063379</c:v>
                </c:pt>
                <c:pt idx="58">
                  <c:v>27.515232487926713</c:v>
                </c:pt>
                <c:pt idx="59">
                  <c:v>27.056645279794601</c:v>
                </c:pt>
                <c:pt idx="60">
                  <c:v>26.613093717830754</c:v>
                </c:pt>
                <c:pt idx="61">
                  <c:v>26.183850270768968</c:v>
                </c:pt>
                <c:pt idx="62">
                  <c:v>25.768233599804383</c:v>
                </c:pt>
                <c:pt idx="63">
                  <c:v>25.365604949807437</c:v>
                </c:pt>
                <c:pt idx="64">
                  <c:v>24.975364873656552</c:v>
                </c:pt>
                <c:pt idx="65">
                  <c:v>24.596950254358728</c:v>
                </c:pt>
                <c:pt idx="66">
                  <c:v>24.229831593845912</c:v>
                </c:pt>
                <c:pt idx="67">
                  <c:v>23.873510540995234</c:v>
                </c:pt>
                <c:pt idx="68">
                  <c:v>23.527517634603999</c:v>
                </c:pt>
                <c:pt idx="69">
                  <c:v>23.191410239823941</c:v>
                </c:pt>
                <c:pt idx="70">
                  <c:v>22.864770658981353</c:v>
                </c:pt>
                <c:pt idx="71">
                  <c:v>22.547204399828832</c:v>
                </c:pt>
                <c:pt idx="72">
                  <c:v>22.238338586132549</c:v>
                </c:pt>
                <c:pt idx="73">
                  <c:v>21.937820497130758</c:v>
                </c:pt>
                <c:pt idx="74">
                  <c:v>21.645316223835678</c:v>
                </c:pt>
                <c:pt idx="75">
                  <c:v>21.360509431416791</c:v>
                </c:pt>
                <c:pt idx="76">
                  <c:v>21.083100218021766</c:v>
                </c:pt>
                <c:pt idx="77">
                  <c:v>20.812804061380461</c:v>
                </c:pt>
                <c:pt idx="78">
                  <c:v>20.54935084541362</c:v>
                </c:pt>
                <c:pt idx="79">
                  <c:v>20.292483959845949</c:v>
                </c:pt>
              </c:numCache>
            </c:numRef>
          </c:yVal>
          <c:smooth val="0"/>
          <c:extLst>
            <c:ext xmlns:c16="http://schemas.microsoft.com/office/drawing/2014/chart" uri="{C3380CC4-5D6E-409C-BE32-E72D297353CC}">
              <c16:uniqueId val="{00000000-4ACE-4899-977B-1CBE965D7E8E}"/>
            </c:ext>
          </c:extLst>
        </c:ser>
        <c:ser>
          <c:idx val="1"/>
          <c:order val="1"/>
          <c:tx>
            <c:v>Typ Device SOA Limit</c:v>
          </c:tx>
          <c:spPr>
            <a:ln w="25400">
              <a:solidFill>
                <a:srgbClr val="FF0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Equations!$T$184:$T$263</c:f>
              <c:numCache>
                <c:formatCode>0.00</c:formatCode>
                <c:ptCount val="80"/>
                <c:pt idx="0">
                  <c:v>17.333333333333332</c:v>
                </c:pt>
                <c:pt idx="1">
                  <c:v>17.333333333333332</c:v>
                </c:pt>
                <c:pt idx="2">
                  <c:v>17.333333333333332</c:v>
                </c:pt>
                <c:pt idx="3">
                  <c:v>17.333333333333332</c:v>
                </c:pt>
                <c:pt idx="4">
                  <c:v>17.333333333333332</c:v>
                </c:pt>
                <c:pt idx="5">
                  <c:v>17.333333333333332</c:v>
                </c:pt>
                <c:pt idx="6">
                  <c:v>17.333333333333332</c:v>
                </c:pt>
                <c:pt idx="7">
                  <c:v>17.333333333333332</c:v>
                </c:pt>
                <c:pt idx="8">
                  <c:v>17.333333333333332</c:v>
                </c:pt>
                <c:pt idx="9">
                  <c:v>17.333333333333332</c:v>
                </c:pt>
                <c:pt idx="10">
                  <c:v>16.666666666666664</c:v>
                </c:pt>
                <c:pt idx="11">
                  <c:v>15.33333333333333</c:v>
                </c:pt>
                <c:pt idx="12">
                  <c:v>14.205128205128204</c:v>
                </c:pt>
                <c:pt idx="13">
                  <c:v>13.238095238095237</c:v>
                </c:pt>
                <c:pt idx="14">
                  <c:v>12.399999999999999</c:v>
                </c:pt>
                <c:pt idx="15">
                  <c:v>11.666666666666666</c:v>
                </c:pt>
                <c:pt idx="16">
                  <c:v>11.019607843137253</c:v>
                </c:pt>
                <c:pt idx="17">
                  <c:v>5.0000000000000003E-10</c:v>
                </c:pt>
                <c:pt idx="18">
                  <c:v>5.0000000000000003E-10</c:v>
                </c:pt>
                <c:pt idx="19">
                  <c:v>5.0000000000000003E-10</c:v>
                </c:pt>
                <c:pt idx="20">
                  <c:v>5.0000000000000003E-10</c:v>
                </c:pt>
                <c:pt idx="21">
                  <c:v>5.0000000000000003E-10</c:v>
                </c:pt>
                <c:pt idx="22">
                  <c:v>5.0000000000000003E-10</c:v>
                </c:pt>
                <c:pt idx="23">
                  <c:v>5.0000000000000003E-10</c:v>
                </c:pt>
                <c:pt idx="24">
                  <c:v>5.0000000000000003E-10</c:v>
                </c:pt>
                <c:pt idx="25">
                  <c:v>5.0000000000000003E-10</c:v>
                </c:pt>
                <c:pt idx="26">
                  <c:v>5.0000000000000003E-10</c:v>
                </c:pt>
                <c:pt idx="27">
                  <c:v>5.0000000000000003E-10</c:v>
                </c:pt>
                <c:pt idx="28">
                  <c:v>5.0000000000000003E-10</c:v>
                </c:pt>
                <c:pt idx="29">
                  <c:v>5.0000000000000003E-10</c:v>
                </c:pt>
                <c:pt idx="30">
                  <c:v>5.0000000000000003E-10</c:v>
                </c:pt>
                <c:pt idx="31">
                  <c:v>5.0000000000000003E-10</c:v>
                </c:pt>
                <c:pt idx="32">
                  <c:v>5.0000000000000003E-10</c:v>
                </c:pt>
                <c:pt idx="33">
                  <c:v>5.0000000000000003E-10</c:v>
                </c:pt>
                <c:pt idx="34">
                  <c:v>5.0000000000000003E-10</c:v>
                </c:pt>
                <c:pt idx="35">
                  <c:v>5.0000000000000003E-10</c:v>
                </c:pt>
                <c:pt idx="36">
                  <c:v>5.0000000000000003E-10</c:v>
                </c:pt>
                <c:pt idx="37">
                  <c:v>5.0000000000000003E-10</c:v>
                </c:pt>
                <c:pt idx="38">
                  <c:v>5.0000000000000003E-10</c:v>
                </c:pt>
                <c:pt idx="39">
                  <c:v>5.0000000000000003E-10</c:v>
                </c:pt>
                <c:pt idx="40">
                  <c:v>5.0000000000000003E-10</c:v>
                </c:pt>
                <c:pt idx="41">
                  <c:v>5.0000000000000003E-10</c:v>
                </c:pt>
                <c:pt idx="42">
                  <c:v>5.0000000000000003E-10</c:v>
                </c:pt>
                <c:pt idx="43">
                  <c:v>5.0000000000000003E-10</c:v>
                </c:pt>
                <c:pt idx="44">
                  <c:v>5.0000000000000003E-10</c:v>
                </c:pt>
                <c:pt idx="45">
                  <c:v>5.0000000000000003E-10</c:v>
                </c:pt>
                <c:pt idx="46">
                  <c:v>5.0000000000000003E-10</c:v>
                </c:pt>
                <c:pt idx="47">
                  <c:v>5.0000000000000003E-10</c:v>
                </c:pt>
                <c:pt idx="48">
                  <c:v>5.0000000000000003E-10</c:v>
                </c:pt>
                <c:pt idx="49">
                  <c:v>5.0000000000000003E-10</c:v>
                </c:pt>
                <c:pt idx="50">
                  <c:v>5.0000000000000003E-10</c:v>
                </c:pt>
                <c:pt idx="51">
                  <c:v>5.0000000000000003E-10</c:v>
                </c:pt>
                <c:pt idx="52">
                  <c:v>5.0000000000000003E-10</c:v>
                </c:pt>
                <c:pt idx="53">
                  <c:v>5.0000000000000003E-10</c:v>
                </c:pt>
                <c:pt idx="54">
                  <c:v>5.0000000000000003E-10</c:v>
                </c:pt>
                <c:pt idx="55">
                  <c:v>5.0000000000000003E-10</c:v>
                </c:pt>
                <c:pt idx="56">
                  <c:v>5.0000000000000003E-10</c:v>
                </c:pt>
                <c:pt idx="57">
                  <c:v>5.0000000000000003E-10</c:v>
                </c:pt>
                <c:pt idx="58">
                  <c:v>5.0000000000000003E-10</c:v>
                </c:pt>
                <c:pt idx="59">
                  <c:v>5.0000000000000003E-10</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4ACE-4899-977B-1CBE965D7E8E}"/>
            </c:ext>
          </c:extLst>
        </c:ser>
        <c:dLbls>
          <c:showLegendKey val="0"/>
          <c:showVal val="0"/>
          <c:showCatName val="0"/>
          <c:showSerName val="0"/>
          <c:showPercent val="0"/>
          <c:showBubbleSize val="0"/>
        </c:dLbls>
        <c:axId val="97502720"/>
        <c:axId val="97504640"/>
      </c:scatterChart>
      <c:valAx>
        <c:axId val="97502720"/>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7504640"/>
        <c:crossesAt val="0.1"/>
        <c:crossBetween val="midCat"/>
      </c:valAx>
      <c:valAx>
        <c:axId val="97504640"/>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7502720"/>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0.16346153846153846</c:v>
                </c:pt>
                <c:pt idx="2">
                  <c:v>0.32692307692307693</c:v>
                </c:pt>
                <c:pt idx="3">
                  <c:v>0.49038461538461542</c:v>
                </c:pt>
                <c:pt idx="4">
                  <c:v>0.65384615384615385</c:v>
                </c:pt>
                <c:pt idx="5">
                  <c:v>0.8173076923076924</c:v>
                </c:pt>
                <c:pt idx="6">
                  <c:v>0.98076923076923084</c:v>
                </c:pt>
                <c:pt idx="7">
                  <c:v>1.1442307692307692</c:v>
                </c:pt>
                <c:pt idx="8">
                  <c:v>1.3076923076923077</c:v>
                </c:pt>
                <c:pt idx="9">
                  <c:v>1.471153846153846</c:v>
                </c:pt>
                <c:pt idx="10">
                  <c:v>1.6346153846153848</c:v>
                </c:pt>
                <c:pt idx="11">
                  <c:v>1.7980769230769231</c:v>
                </c:pt>
                <c:pt idx="12">
                  <c:v>1.9615384615384617</c:v>
                </c:pt>
                <c:pt idx="13">
                  <c:v>2.125</c:v>
                </c:pt>
                <c:pt idx="14">
                  <c:v>2.2884615384615383</c:v>
                </c:pt>
                <c:pt idx="15">
                  <c:v>2.4519230769230766</c:v>
                </c:pt>
                <c:pt idx="16">
                  <c:v>2.6153846153846154</c:v>
                </c:pt>
                <c:pt idx="17">
                  <c:v>2.7788461538461537</c:v>
                </c:pt>
                <c:pt idx="18">
                  <c:v>2.9423076923076921</c:v>
                </c:pt>
                <c:pt idx="19">
                  <c:v>3.1057692307692304</c:v>
                </c:pt>
                <c:pt idx="20">
                  <c:v>3.2692307692307696</c:v>
                </c:pt>
                <c:pt idx="21">
                  <c:v>3.4326923076923079</c:v>
                </c:pt>
                <c:pt idx="22">
                  <c:v>3.5961538461538463</c:v>
                </c:pt>
                <c:pt idx="23">
                  <c:v>3.7596153846153846</c:v>
                </c:pt>
                <c:pt idx="24">
                  <c:v>3.9230769230769234</c:v>
                </c:pt>
                <c:pt idx="25">
                  <c:v>4.0865384615384617</c:v>
                </c:pt>
                <c:pt idx="26">
                  <c:v>4.25</c:v>
                </c:pt>
                <c:pt idx="27">
                  <c:v>4.4134615384615392</c:v>
                </c:pt>
                <c:pt idx="28">
                  <c:v>4.5769230769230766</c:v>
                </c:pt>
                <c:pt idx="29">
                  <c:v>4.7403846153846159</c:v>
                </c:pt>
                <c:pt idx="30">
                  <c:v>4.9038461538461533</c:v>
                </c:pt>
                <c:pt idx="31">
                  <c:v>5.0673076923076925</c:v>
                </c:pt>
                <c:pt idx="32">
                  <c:v>5.2307692307692308</c:v>
                </c:pt>
                <c:pt idx="33">
                  <c:v>5.3942307692307692</c:v>
                </c:pt>
                <c:pt idx="34">
                  <c:v>5.5576923076923075</c:v>
                </c:pt>
                <c:pt idx="35">
                  <c:v>5.7211538461538467</c:v>
                </c:pt>
                <c:pt idx="36">
                  <c:v>5.8846153846153841</c:v>
                </c:pt>
                <c:pt idx="37">
                  <c:v>6.0480769230769234</c:v>
                </c:pt>
                <c:pt idx="38">
                  <c:v>6.2115384615384608</c:v>
                </c:pt>
                <c:pt idx="39">
                  <c:v>6.375</c:v>
                </c:pt>
                <c:pt idx="40">
                  <c:v>6.5384615384615392</c:v>
                </c:pt>
                <c:pt idx="41">
                  <c:v>6.7019230769230766</c:v>
                </c:pt>
                <c:pt idx="42">
                  <c:v>6.8653846153846159</c:v>
                </c:pt>
                <c:pt idx="43">
                  <c:v>7.0288461538461533</c:v>
                </c:pt>
                <c:pt idx="44">
                  <c:v>7.1923076923076925</c:v>
                </c:pt>
                <c:pt idx="45">
                  <c:v>7.3557692307692308</c:v>
                </c:pt>
                <c:pt idx="46">
                  <c:v>7.5192307692307692</c:v>
                </c:pt>
                <c:pt idx="47">
                  <c:v>7.6826923076923075</c:v>
                </c:pt>
                <c:pt idx="48">
                  <c:v>7.8461538461538467</c:v>
                </c:pt>
                <c:pt idx="49">
                  <c:v>8.009615384615385</c:v>
                </c:pt>
                <c:pt idx="50">
                  <c:v>8.1730769230769234</c:v>
                </c:pt>
                <c:pt idx="51">
                  <c:v>8.3365384615384617</c:v>
                </c:pt>
                <c:pt idx="52">
                  <c:v>8.5</c:v>
                </c:pt>
                <c:pt idx="53">
                  <c:v>8.6634615384615383</c:v>
                </c:pt>
                <c:pt idx="54">
                  <c:v>8.8269230769230784</c:v>
                </c:pt>
                <c:pt idx="55">
                  <c:v>8.990384615384615</c:v>
                </c:pt>
                <c:pt idx="56">
                  <c:v>9.1538461538461533</c:v>
                </c:pt>
                <c:pt idx="57">
                  <c:v>9.3173076923076934</c:v>
                </c:pt>
                <c:pt idx="58">
                  <c:v>9.4807692307692317</c:v>
                </c:pt>
                <c:pt idx="59">
                  <c:v>9.6442307692307683</c:v>
                </c:pt>
                <c:pt idx="60">
                  <c:v>9.8076923076923066</c:v>
                </c:pt>
                <c:pt idx="61">
                  <c:v>9.9711538461538467</c:v>
                </c:pt>
                <c:pt idx="62">
                  <c:v>10.134615384615385</c:v>
                </c:pt>
                <c:pt idx="63">
                  <c:v>10.298076923076922</c:v>
                </c:pt>
                <c:pt idx="64">
                  <c:v>10.461538461538462</c:v>
                </c:pt>
                <c:pt idx="65">
                  <c:v>10.625</c:v>
                </c:pt>
                <c:pt idx="66">
                  <c:v>10.788461538461538</c:v>
                </c:pt>
                <c:pt idx="67">
                  <c:v>10.951923076923078</c:v>
                </c:pt>
                <c:pt idx="68">
                  <c:v>11.115384615384615</c:v>
                </c:pt>
                <c:pt idx="69">
                  <c:v>11.278846153846153</c:v>
                </c:pt>
                <c:pt idx="70">
                  <c:v>11.442307692307693</c:v>
                </c:pt>
                <c:pt idx="71">
                  <c:v>11.605769230769232</c:v>
                </c:pt>
                <c:pt idx="72">
                  <c:v>11.769230769230768</c:v>
                </c:pt>
                <c:pt idx="73">
                  <c:v>11.932692307692307</c:v>
                </c:pt>
                <c:pt idx="74">
                  <c:v>12.096153846153847</c:v>
                </c:pt>
                <c:pt idx="75">
                  <c:v>12.259615384615385</c:v>
                </c:pt>
                <c:pt idx="76">
                  <c:v>12.423076923076922</c:v>
                </c:pt>
                <c:pt idx="77">
                  <c:v>12.586538461538462</c:v>
                </c:pt>
                <c:pt idx="78">
                  <c:v>12.75</c:v>
                </c:pt>
                <c:pt idx="79">
                  <c:v>12.913461538461538</c:v>
                </c:pt>
                <c:pt idx="80">
                  <c:v>13.076923076923078</c:v>
                </c:pt>
                <c:pt idx="81">
                  <c:v>13.240384615384615</c:v>
                </c:pt>
                <c:pt idx="82">
                  <c:v>13.403846153846153</c:v>
                </c:pt>
                <c:pt idx="83">
                  <c:v>13.567307692307693</c:v>
                </c:pt>
                <c:pt idx="84">
                  <c:v>13.730769230769232</c:v>
                </c:pt>
                <c:pt idx="85">
                  <c:v>13.894230769230768</c:v>
                </c:pt>
                <c:pt idx="86">
                  <c:v>14.057692307692307</c:v>
                </c:pt>
                <c:pt idx="87">
                  <c:v>14.221153846153847</c:v>
                </c:pt>
                <c:pt idx="88">
                  <c:v>14.384615384615385</c:v>
                </c:pt>
                <c:pt idx="89">
                  <c:v>14.548076923076922</c:v>
                </c:pt>
                <c:pt idx="90">
                  <c:v>14.711538461538462</c:v>
                </c:pt>
                <c:pt idx="91">
                  <c:v>14.875</c:v>
                </c:pt>
                <c:pt idx="92">
                  <c:v>15.038461538461538</c:v>
                </c:pt>
                <c:pt idx="93">
                  <c:v>15.201923076923078</c:v>
                </c:pt>
                <c:pt idx="94">
                  <c:v>15.365384615384615</c:v>
                </c:pt>
                <c:pt idx="95">
                  <c:v>15.528846153846153</c:v>
                </c:pt>
                <c:pt idx="96">
                  <c:v>15.692307692307693</c:v>
                </c:pt>
                <c:pt idx="97">
                  <c:v>15.855769230769232</c:v>
                </c:pt>
                <c:pt idx="98">
                  <c:v>16.01923076923077</c:v>
                </c:pt>
                <c:pt idx="99">
                  <c:v>16.182692307692307</c:v>
                </c:pt>
                <c:pt idx="100">
                  <c:v>16.346153846153847</c:v>
                </c:pt>
                <c:pt idx="101">
                  <c:v>16.509615384615383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1.2096153846153848</c:v>
                </c:pt>
                <c:pt idx="75">
                  <c:v>1.2259615384615385</c:v>
                </c:pt>
                <c:pt idx="76">
                  <c:v>1.2423076923076921</c:v>
                </c:pt>
                <c:pt idx="77">
                  <c:v>1.2586538461538461</c:v>
                </c:pt>
                <c:pt idx="78">
                  <c:v>1.2749999999999999</c:v>
                </c:pt>
                <c:pt idx="79">
                  <c:v>1.2913461538461539</c:v>
                </c:pt>
                <c:pt idx="80">
                  <c:v>1.3076923076923079</c:v>
                </c:pt>
                <c:pt idx="81">
                  <c:v>1.3240384615384615</c:v>
                </c:pt>
                <c:pt idx="82">
                  <c:v>1.3403846153846153</c:v>
                </c:pt>
                <c:pt idx="83">
                  <c:v>1.3567307692307693</c:v>
                </c:pt>
                <c:pt idx="84">
                  <c:v>1.3730769230769231</c:v>
                </c:pt>
                <c:pt idx="85">
                  <c:v>1.3894230769230769</c:v>
                </c:pt>
                <c:pt idx="86">
                  <c:v>1.4057692307692307</c:v>
                </c:pt>
                <c:pt idx="87">
                  <c:v>1.4221153846153847</c:v>
                </c:pt>
                <c:pt idx="88">
                  <c:v>1.4384615384615385</c:v>
                </c:pt>
                <c:pt idx="89">
                  <c:v>1.4548076923076922</c:v>
                </c:pt>
                <c:pt idx="90">
                  <c:v>1.4711538461538463</c:v>
                </c:pt>
                <c:pt idx="91">
                  <c:v>1.4875</c:v>
                </c:pt>
                <c:pt idx="92">
                  <c:v>1.5038461538461538</c:v>
                </c:pt>
                <c:pt idx="93">
                  <c:v>1.5201923076923078</c:v>
                </c:pt>
                <c:pt idx="94">
                  <c:v>1.5365384615384614</c:v>
                </c:pt>
                <c:pt idx="95">
                  <c:v>1.5528846153846154</c:v>
                </c:pt>
                <c:pt idx="96">
                  <c:v>1.5692307692307694</c:v>
                </c:pt>
                <c:pt idx="97">
                  <c:v>1.5855769230769232</c:v>
                </c:pt>
                <c:pt idx="98">
                  <c:v>1.601923076923077</c:v>
                </c:pt>
                <c:pt idx="99">
                  <c:v>1.6182692307692306</c:v>
                </c:pt>
                <c:pt idx="100">
                  <c:v>1.6346153846153846</c:v>
                </c:pt>
                <c:pt idx="101">
                  <c:v>1.6509615384615384</c:v>
                </c:pt>
              </c:numCache>
            </c:numRef>
          </c:yVal>
          <c:smooth val="1"/>
          <c:extLst>
            <c:ext xmlns:c16="http://schemas.microsoft.com/office/drawing/2014/chart" uri="{C3380CC4-5D6E-409C-BE32-E72D297353CC}">
              <c16:uniqueId val="{00000000-073A-4BF5-AB75-9398C5EED8B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0.16346153846153846</c:v>
                </c:pt>
                <c:pt idx="2">
                  <c:v>0.32692307692307693</c:v>
                </c:pt>
                <c:pt idx="3">
                  <c:v>0.49038461538461542</c:v>
                </c:pt>
                <c:pt idx="4">
                  <c:v>0.65384615384615385</c:v>
                </c:pt>
                <c:pt idx="5">
                  <c:v>0.8173076923076924</c:v>
                </c:pt>
                <c:pt idx="6">
                  <c:v>0.98076923076923084</c:v>
                </c:pt>
                <c:pt idx="7">
                  <c:v>1.1442307692307692</c:v>
                </c:pt>
                <c:pt idx="8">
                  <c:v>1.3076923076923077</c:v>
                </c:pt>
                <c:pt idx="9">
                  <c:v>1.471153846153846</c:v>
                </c:pt>
                <c:pt idx="10">
                  <c:v>1.6346153846153848</c:v>
                </c:pt>
                <c:pt idx="11">
                  <c:v>1.7980769230769231</c:v>
                </c:pt>
                <c:pt idx="12">
                  <c:v>1.9615384615384617</c:v>
                </c:pt>
                <c:pt idx="13">
                  <c:v>2.125</c:v>
                </c:pt>
                <c:pt idx="14">
                  <c:v>2.2884615384615383</c:v>
                </c:pt>
                <c:pt idx="15">
                  <c:v>2.4519230769230766</c:v>
                </c:pt>
                <c:pt idx="16">
                  <c:v>2.6153846153846154</c:v>
                </c:pt>
                <c:pt idx="17">
                  <c:v>2.7788461538461537</c:v>
                </c:pt>
                <c:pt idx="18">
                  <c:v>2.9423076923076921</c:v>
                </c:pt>
                <c:pt idx="19">
                  <c:v>3.1057692307692304</c:v>
                </c:pt>
                <c:pt idx="20">
                  <c:v>3.2692307692307696</c:v>
                </c:pt>
                <c:pt idx="21">
                  <c:v>3.4326923076923079</c:v>
                </c:pt>
                <c:pt idx="22">
                  <c:v>3.5961538461538463</c:v>
                </c:pt>
                <c:pt idx="23">
                  <c:v>3.7596153846153846</c:v>
                </c:pt>
                <c:pt idx="24">
                  <c:v>3.9230769230769234</c:v>
                </c:pt>
                <c:pt idx="25">
                  <c:v>4.0865384615384617</c:v>
                </c:pt>
                <c:pt idx="26">
                  <c:v>4.25</c:v>
                </c:pt>
                <c:pt idx="27">
                  <c:v>4.4134615384615392</c:v>
                </c:pt>
                <c:pt idx="28">
                  <c:v>4.5769230769230766</c:v>
                </c:pt>
                <c:pt idx="29">
                  <c:v>4.7403846153846159</c:v>
                </c:pt>
                <c:pt idx="30">
                  <c:v>4.9038461538461533</c:v>
                </c:pt>
                <c:pt idx="31">
                  <c:v>5.0673076923076925</c:v>
                </c:pt>
                <c:pt idx="32">
                  <c:v>5.2307692307692308</c:v>
                </c:pt>
                <c:pt idx="33">
                  <c:v>5.3942307692307692</c:v>
                </c:pt>
                <c:pt idx="34">
                  <c:v>5.5576923076923075</c:v>
                </c:pt>
                <c:pt idx="35">
                  <c:v>5.7211538461538467</c:v>
                </c:pt>
                <c:pt idx="36">
                  <c:v>5.8846153846153841</c:v>
                </c:pt>
                <c:pt idx="37">
                  <c:v>6.0480769230769234</c:v>
                </c:pt>
                <c:pt idx="38">
                  <c:v>6.2115384615384608</c:v>
                </c:pt>
                <c:pt idx="39">
                  <c:v>6.375</c:v>
                </c:pt>
                <c:pt idx="40">
                  <c:v>6.5384615384615392</c:v>
                </c:pt>
                <c:pt idx="41">
                  <c:v>6.7019230769230766</c:v>
                </c:pt>
                <c:pt idx="42">
                  <c:v>6.8653846153846159</c:v>
                </c:pt>
                <c:pt idx="43">
                  <c:v>7.0288461538461533</c:v>
                </c:pt>
                <c:pt idx="44">
                  <c:v>7.1923076923076925</c:v>
                </c:pt>
                <c:pt idx="45">
                  <c:v>7.3557692307692308</c:v>
                </c:pt>
                <c:pt idx="46">
                  <c:v>7.5192307692307692</c:v>
                </c:pt>
                <c:pt idx="47">
                  <c:v>7.6826923076923075</c:v>
                </c:pt>
                <c:pt idx="48">
                  <c:v>7.8461538461538467</c:v>
                </c:pt>
                <c:pt idx="49">
                  <c:v>8.009615384615385</c:v>
                </c:pt>
                <c:pt idx="50">
                  <c:v>8.1730769230769234</c:v>
                </c:pt>
                <c:pt idx="51">
                  <c:v>8.3365384615384617</c:v>
                </c:pt>
                <c:pt idx="52">
                  <c:v>8.5</c:v>
                </c:pt>
                <c:pt idx="53">
                  <c:v>8.6634615384615383</c:v>
                </c:pt>
                <c:pt idx="54">
                  <c:v>8.8269230769230784</c:v>
                </c:pt>
                <c:pt idx="55">
                  <c:v>8.990384615384615</c:v>
                </c:pt>
                <c:pt idx="56">
                  <c:v>9.1538461538461533</c:v>
                </c:pt>
                <c:pt idx="57">
                  <c:v>9.3173076923076934</c:v>
                </c:pt>
                <c:pt idx="58">
                  <c:v>9.4807692307692317</c:v>
                </c:pt>
                <c:pt idx="59">
                  <c:v>9.6442307692307683</c:v>
                </c:pt>
                <c:pt idx="60">
                  <c:v>9.8076923076923066</c:v>
                </c:pt>
                <c:pt idx="61">
                  <c:v>9.9711538461538467</c:v>
                </c:pt>
                <c:pt idx="62">
                  <c:v>10.134615384615385</c:v>
                </c:pt>
                <c:pt idx="63">
                  <c:v>10.298076923076922</c:v>
                </c:pt>
                <c:pt idx="64">
                  <c:v>10.461538461538462</c:v>
                </c:pt>
                <c:pt idx="65">
                  <c:v>10.625</c:v>
                </c:pt>
                <c:pt idx="66">
                  <c:v>10.788461538461538</c:v>
                </c:pt>
                <c:pt idx="67">
                  <c:v>10.951923076923078</c:v>
                </c:pt>
                <c:pt idx="68">
                  <c:v>11.115384615384615</c:v>
                </c:pt>
                <c:pt idx="69">
                  <c:v>11.278846153846153</c:v>
                </c:pt>
                <c:pt idx="70">
                  <c:v>11.442307692307693</c:v>
                </c:pt>
                <c:pt idx="71">
                  <c:v>11.605769230769232</c:v>
                </c:pt>
                <c:pt idx="72">
                  <c:v>11.769230769230768</c:v>
                </c:pt>
                <c:pt idx="73">
                  <c:v>11.932692307692307</c:v>
                </c:pt>
                <c:pt idx="74">
                  <c:v>12.096153846153847</c:v>
                </c:pt>
                <c:pt idx="75">
                  <c:v>12.259615384615385</c:v>
                </c:pt>
                <c:pt idx="76">
                  <c:v>12.423076923076922</c:v>
                </c:pt>
                <c:pt idx="77">
                  <c:v>12.586538461538462</c:v>
                </c:pt>
                <c:pt idx="78">
                  <c:v>12.75</c:v>
                </c:pt>
                <c:pt idx="79">
                  <c:v>12.913461538461538</c:v>
                </c:pt>
                <c:pt idx="80">
                  <c:v>13.076923076923078</c:v>
                </c:pt>
                <c:pt idx="81">
                  <c:v>13.240384615384615</c:v>
                </c:pt>
                <c:pt idx="82">
                  <c:v>13.403846153846153</c:v>
                </c:pt>
                <c:pt idx="83">
                  <c:v>13.567307692307693</c:v>
                </c:pt>
                <c:pt idx="84">
                  <c:v>13.730769230769232</c:v>
                </c:pt>
                <c:pt idx="85">
                  <c:v>13.894230769230768</c:v>
                </c:pt>
                <c:pt idx="86">
                  <c:v>14.057692307692307</c:v>
                </c:pt>
                <c:pt idx="87">
                  <c:v>14.221153846153847</c:v>
                </c:pt>
                <c:pt idx="88">
                  <c:v>14.384615384615385</c:v>
                </c:pt>
                <c:pt idx="89">
                  <c:v>14.548076923076922</c:v>
                </c:pt>
                <c:pt idx="90">
                  <c:v>14.711538461538462</c:v>
                </c:pt>
                <c:pt idx="91">
                  <c:v>14.875</c:v>
                </c:pt>
                <c:pt idx="92">
                  <c:v>15.038461538461538</c:v>
                </c:pt>
                <c:pt idx="93">
                  <c:v>15.201923076923078</c:v>
                </c:pt>
                <c:pt idx="94">
                  <c:v>15.365384615384615</c:v>
                </c:pt>
                <c:pt idx="95">
                  <c:v>15.528846153846153</c:v>
                </c:pt>
                <c:pt idx="96">
                  <c:v>15.692307692307693</c:v>
                </c:pt>
                <c:pt idx="97">
                  <c:v>15.855769230769232</c:v>
                </c:pt>
                <c:pt idx="98">
                  <c:v>16.01923076923077</c:v>
                </c:pt>
                <c:pt idx="99">
                  <c:v>16.182692307692307</c:v>
                </c:pt>
                <c:pt idx="100">
                  <c:v>16.346153846153847</c:v>
                </c:pt>
                <c:pt idx="101">
                  <c:v>16.509615384615383</c:v>
                </c:pt>
              </c:numCache>
            </c:numRef>
          </c:xVal>
          <c:yVal>
            <c:numRef>
              <c:f>Start_up!$G$10:$G$112</c:f>
              <c:numCache>
                <c:formatCode>General</c:formatCode>
                <c:ptCount val="103"/>
                <c:pt idx="0">
                  <c:v>4.255319148936171</c:v>
                </c:pt>
                <c:pt idx="1">
                  <c:v>4.255319148936171</c:v>
                </c:pt>
                <c:pt idx="2">
                  <c:v>4.255319148936171</c:v>
                </c:pt>
                <c:pt idx="3">
                  <c:v>4.255319148936171</c:v>
                </c:pt>
                <c:pt idx="4">
                  <c:v>4.255319148936171</c:v>
                </c:pt>
                <c:pt idx="5">
                  <c:v>4.255319148936171</c:v>
                </c:pt>
                <c:pt idx="6">
                  <c:v>4.255319148936171</c:v>
                </c:pt>
                <c:pt idx="7">
                  <c:v>4.255319148936171</c:v>
                </c:pt>
                <c:pt idx="8">
                  <c:v>4.255319148936171</c:v>
                </c:pt>
                <c:pt idx="9">
                  <c:v>4.255319148936171</c:v>
                </c:pt>
                <c:pt idx="10">
                  <c:v>4.255319148936171</c:v>
                </c:pt>
                <c:pt idx="11">
                  <c:v>4.255319148936171</c:v>
                </c:pt>
                <c:pt idx="12">
                  <c:v>4.255319148936171</c:v>
                </c:pt>
                <c:pt idx="13">
                  <c:v>4.255319148936171</c:v>
                </c:pt>
                <c:pt idx="14">
                  <c:v>4.255319148936171</c:v>
                </c:pt>
                <c:pt idx="15">
                  <c:v>4.255319148936171</c:v>
                </c:pt>
                <c:pt idx="16">
                  <c:v>4.255319148936171</c:v>
                </c:pt>
                <c:pt idx="17">
                  <c:v>4.255319148936171</c:v>
                </c:pt>
                <c:pt idx="18">
                  <c:v>4.255319148936171</c:v>
                </c:pt>
                <c:pt idx="19">
                  <c:v>4.255319148936171</c:v>
                </c:pt>
                <c:pt idx="20">
                  <c:v>4.255319148936171</c:v>
                </c:pt>
                <c:pt idx="21">
                  <c:v>4.255319148936171</c:v>
                </c:pt>
                <c:pt idx="22">
                  <c:v>4.255319148936171</c:v>
                </c:pt>
                <c:pt idx="23">
                  <c:v>4.255319148936171</c:v>
                </c:pt>
                <c:pt idx="24">
                  <c:v>4.255319148936171</c:v>
                </c:pt>
                <c:pt idx="25">
                  <c:v>4.255319148936171</c:v>
                </c:pt>
                <c:pt idx="26">
                  <c:v>4.255319148936171</c:v>
                </c:pt>
                <c:pt idx="27">
                  <c:v>4.255319148936171</c:v>
                </c:pt>
                <c:pt idx="28">
                  <c:v>4.255319148936171</c:v>
                </c:pt>
                <c:pt idx="29">
                  <c:v>4.255319148936171</c:v>
                </c:pt>
                <c:pt idx="30">
                  <c:v>4.255319148936171</c:v>
                </c:pt>
                <c:pt idx="31">
                  <c:v>4.255319148936171</c:v>
                </c:pt>
                <c:pt idx="32">
                  <c:v>4.255319148936171</c:v>
                </c:pt>
                <c:pt idx="33">
                  <c:v>4.255319148936171</c:v>
                </c:pt>
                <c:pt idx="34">
                  <c:v>4.255319148936171</c:v>
                </c:pt>
                <c:pt idx="35">
                  <c:v>4.255319148936171</c:v>
                </c:pt>
                <c:pt idx="36">
                  <c:v>4.255319148936171</c:v>
                </c:pt>
                <c:pt idx="37">
                  <c:v>4.255319148936171</c:v>
                </c:pt>
                <c:pt idx="38">
                  <c:v>4.255319148936171</c:v>
                </c:pt>
                <c:pt idx="39">
                  <c:v>4.255319148936171</c:v>
                </c:pt>
                <c:pt idx="40">
                  <c:v>4.255319148936171</c:v>
                </c:pt>
                <c:pt idx="41">
                  <c:v>4.255319148936171</c:v>
                </c:pt>
                <c:pt idx="42">
                  <c:v>4.255319148936171</c:v>
                </c:pt>
                <c:pt idx="43">
                  <c:v>4.255319148936171</c:v>
                </c:pt>
                <c:pt idx="44">
                  <c:v>4.255319148936171</c:v>
                </c:pt>
                <c:pt idx="45">
                  <c:v>4.255319148936171</c:v>
                </c:pt>
                <c:pt idx="46">
                  <c:v>4.255319148936171</c:v>
                </c:pt>
                <c:pt idx="47">
                  <c:v>4.255319148936171</c:v>
                </c:pt>
                <c:pt idx="48">
                  <c:v>4.255319148936171</c:v>
                </c:pt>
                <c:pt idx="49">
                  <c:v>4.255319148936171</c:v>
                </c:pt>
                <c:pt idx="50">
                  <c:v>4.255319148936171</c:v>
                </c:pt>
                <c:pt idx="51">
                  <c:v>4.255319148936171</c:v>
                </c:pt>
                <c:pt idx="52">
                  <c:v>4.255319148936171</c:v>
                </c:pt>
                <c:pt idx="53">
                  <c:v>4.255319148936171</c:v>
                </c:pt>
                <c:pt idx="54">
                  <c:v>4.255319148936171</c:v>
                </c:pt>
                <c:pt idx="55">
                  <c:v>4.255319148936171</c:v>
                </c:pt>
                <c:pt idx="56">
                  <c:v>4.255319148936171</c:v>
                </c:pt>
                <c:pt idx="57">
                  <c:v>4.255319148936171</c:v>
                </c:pt>
                <c:pt idx="58">
                  <c:v>4.255319148936171</c:v>
                </c:pt>
                <c:pt idx="59">
                  <c:v>4.255319148936171</c:v>
                </c:pt>
                <c:pt idx="60">
                  <c:v>4.255319148936171</c:v>
                </c:pt>
                <c:pt idx="61">
                  <c:v>4.255319148936171</c:v>
                </c:pt>
                <c:pt idx="62">
                  <c:v>4.255319148936171</c:v>
                </c:pt>
                <c:pt idx="63">
                  <c:v>4.255319148936171</c:v>
                </c:pt>
                <c:pt idx="64">
                  <c:v>4.255319148936171</c:v>
                </c:pt>
                <c:pt idx="65">
                  <c:v>4.255319148936171</c:v>
                </c:pt>
                <c:pt idx="66">
                  <c:v>4.255319148936171</c:v>
                </c:pt>
                <c:pt idx="67">
                  <c:v>4.255319148936171</c:v>
                </c:pt>
                <c:pt idx="68">
                  <c:v>4.255319148936171</c:v>
                </c:pt>
                <c:pt idx="69">
                  <c:v>4.255319148936171</c:v>
                </c:pt>
                <c:pt idx="70">
                  <c:v>4.255319148936171</c:v>
                </c:pt>
                <c:pt idx="71">
                  <c:v>4.255319148936171</c:v>
                </c:pt>
                <c:pt idx="72">
                  <c:v>4.255319148936171</c:v>
                </c:pt>
                <c:pt idx="73">
                  <c:v>4.255319148936171</c:v>
                </c:pt>
                <c:pt idx="74">
                  <c:v>5.4649345335515562</c:v>
                </c:pt>
                <c:pt idx="75">
                  <c:v>5.4812806873977094</c:v>
                </c:pt>
                <c:pt idx="76">
                  <c:v>5.4976268412438634</c:v>
                </c:pt>
                <c:pt idx="77">
                  <c:v>5.5139729950900174</c:v>
                </c:pt>
                <c:pt idx="78">
                  <c:v>5.5303191489361705</c:v>
                </c:pt>
                <c:pt idx="79">
                  <c:v>5.5466653027823245</c:v>
                </c:pt>
                <c:pt idx="80">
                  <c:v>5.5630114566284785</c:v>
                </c:pt>
                <c:pt idx="81">
                  <c:v>5.5793576104746325</c:v>
                </c:pt>
                <c:pt idx="82">
                  <c:v>5.5957037643207865</c:v>
                </c:pt>
                <c:pt idx="83">
                  <c:v>5.6120499181669405</c:v>
                </c:pt>
                <c:pt idx="84">
                  <c:v>5.6283960720130946</c:v>
                </c:pt>
                <c:pt idx="85">
                  <c:v>5.6447422258592477</c:v>
                </c:pt>
                <c:pt idx="86">
                  <c:v>5.6610883797054017</c:v>
                </c:pt>
                <c:pt idx="87">
                  <c:v>5.6774345335515557</c:v>
                </c:pt>
                <c:pt idx="88">
                  <c:v>5.6937806873977097</c:v>
                </c:pt>
                <c:pt idx="89">
                  <c:v>5.7101268412438628</c:v>
                </c:pt>
                <c:pt idx="90">
                  <c:v>5.7264729950900168</c:v>
                </c:pt>
                <c:pt idx="91">
                  <c:v>5.7428191489361708</c:v>
                </c:pt>
                <c:pt idx="92">
                  <c:v>5.7591653027823249</c:v>
                </c:pt>
                <c:pt idx="93">
                  <c:v>5.7755114566284789</c:v>
                </c:pt>
                <c:pt idx="94">
                  <c:v>5.7918576104746329</c:v>
                </c:pt>
                <c:pt idx="95">
                  <c:v>5.8082037643207869</c:v>
                </c:pt>
                <c:pt idx="96">
                  <c:v>5.8245499181669409</c:v>
                </c:pt>
                <c:pt idx="97">
                  <c:v>5.840896072013094</c:v>
                </c:pt>
                <c:pt idx="98">
                  <c:v>5.857242225859248</c:v>
                </c:pt>
                <c:pt idx="99">
                  <c:v>5.8735883797054012</c:v>
                </c:pt>
                <c:pt idx="100">
                  <c:v>5.8899345335515552</c:v>
                </c:pt>
                <c:pt idx="101">
                  <c:v>5.9062806873977092</c:v>
                </c:pt>
                <c:pt idx="102">
                  <c:v>5.9226268412438632</c:v>
                </c:pt>
              </c:numCache>
            </c:numRef>
          </c:yVal>
          <c:smooth val="1"/>
          <c:extLst>
            <c:ext xmlns:c16="http://schemas.microsoft.com/office/drawing/2014/chart" uri="{C3380CC4-5D6E-409C-BE32-E72D297353CC}">
              <c16:uniqueId val="{00000001-073A-4BF5-AB75-9398C5EED8B1}"/>
            </c:ext>
          </c:extLst>
        </c:ser>
        <c:dLbls>
          <c:showLegendKey val="0"/>
          <c:showVal val="0"/>
          <c:showCatName val="0"/>
          <c:showSerName val="0"/>
          <c:showPercent val="0"/>
          <c:showBubbleSize val="0"/>
        </c:dLbls>
        <c:axId val="97616256"/>
        <c:axId val="97618176"/>
      </c:scatterChart>
      <c:valAx>
        <c:axId val="9761625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97618176"/>
        <c:crosses val="autoZero"/>
        <c:crossBetween val="midCat"/>
      </c:valAx>
      <c:valAx>
        <c:axId val="97618176"/>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97616256"/>
        <c:crosses val="autoZero"/>
        <c:crossBetween val="midCat"/>
      </c:valAx>
    </c:plotArea>
    <c:legend>
      <c:legendPos val="r"/>
      <c:layout>
        <c:manualLayout>
          <c:xMode val="edge"/>
          <c:yMode val="edge"/>
          <c:x val="0.73033541997931362"/>
          <c:y val="0.3081805799392333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0.38413461538461535</c:v>
                </c:pt>
                <c:pt idx="4" formatCode="0.0">
                  <c:v>0.7682692307692307</c:v>
                </c:pt>
                <c:pt idx="5" formatCode="0.0">
                  <c:v>1.1524038461538459</c:v>
                </c:pt>
                <c:pt idx="6" formatCode="0.0">
                  <c:v>1.5365384615384612</c:v>
                </c:pt>
                <c:pt idx="7" formatCode="0.0">
                  <c:v>1.9206730769230766</c:v>
                </c:pt>
                <c:pt idx="8" formatCode="0.0">
                  <c:v>2.3048076923076919</c:v>
                </c:pt>
                <c:pt idx="9" formatCode="0.0">
                  <c:v>2.6889423076923071</c:v>
                </c:pt>
                <c:pt idx="10" formatCode="0.0">
                  <c:v>3.0730769230769228</c:v>
                </c:pt>
                <c:pt idx="11" formatCode="0.0">
                  <c:v>3.4572115384615376</c:v>
                </c:pt>
                <c:pt idx="12" formatCode="0.0">
                  <c:v>3.8413461538461533</c:v>
                </c:pt>
                <c:pt idx="13" formatCode="0.0">
                  <c:v>4.225480769230769</c:v>
                </c:pt>
                <c:pt idx="14" formatCode="0.0">
                  <c:v>4.6096153846153838</c:v>
                </c:pt>
                <c:pt idx="15" formatCode="0.0">
                  <c:v>4.9937499999999995</c:v>
                </c:pt>
                <c:pt idx="16" formatCode="0.0">
                  <c:v>5.3778846153846143</c:v>
                </c:pt>
                <c:pt idx="17" formatCode="0.0">
                  <c:v>5.7620192307692291</c:v>
                </c:pt>
                <c:pt idx="18" formatCode="0.0">
                  <c:v>6.1461538461538456</c:v>
                </c:pt>
                <c:pt idx="19" formatCode="0.0">
                  <c:v>6.5302884615384604</c:v>
                </c:pt>
                <c:pt idx="20" formatCode="0.0">
                  <c:v>6.9144230769230761</c:v>
                </c:pt>
                <c:pt idx="21" formatCode="0.0">
                  <c:v>7.2985576923076909</c:v>
                </c:pt>
                <c:pt idx="22" formatCode="0.0">
                  <c:v>7.6826923076923075</c:v>
                </c:pt>
                <c:pt idx="23" formatCode="0.0">
                  <c:v>8.0668269230769223</c:v>
                </c:pt>
                <c:pt idx="24" formatCode="0.0">
                  <c:v>8.450961538461538</c:v>
                </c:pt>
                <c:pt idx="25" formatCode="0.0">
                  <c:v>8.8350961538461519</c:v>
                </c:pt>
                <c:pt idx="26" formatCode="0.0">
                  <c:v>9.2192307692307676</c:v>
                </c:pt>
                <c:pt idx="27" formatCode="0.0">
                  <c:v>9.6033653846153815</c:v>
                </c:pt>
                <c:pt idx="28" formatCode="0.0">
                  <c:v>9.9874999999999972</c:v>
                </c:pt>
                <c:pt idx="29" formatCode="0.0">
                  <c:v>10.371634615384615</c:v>
                </c:pt>
                <c:pt idx="30" formatCode="0.0">
                  <c:v>10.755769230769227</c:v>
                </c:pt>
                <c:pt idx="31" formatCode="0.0">
                  <c:v>11.139903846153844</c:v>
                </c:pt>
                <c:pt idx="32" formatCode="0.0">
                  <c:v>11.524038461538456</c:v>
                </c:pt>
                <c:pt idx="33" formatCode="0.0">
                  <c:v>11.908173076923076</c:v>
                </c:pt>
                <c:pt idx="34" formatCode="0.0">
                  <c:v>12.292307692307689</c:v>
                </c:pt>
                <c:pt idx="35" formatCode="0.0">
                  <c:v>12.676442307692303</c:v>
                </c:pt>
                <c:pt idx="36" formatCode="0.0">
                  <c:v>13.060576923076917</c:v>
                </c:pt>
                <c:pt idx="37" formatCode="0.0">
                  <c:v>13.444711538461535</c:v>
                </c:pt>
                <c:pt idx="38" formatCode="0.0">
                  <c:v>13.828846153846149</c:v>
                </c:pt>
                <c:pt idx="39" formatCode="0.0">
                  <c:v>14.212980769230766</c:v>
                </c:pt>
                <c:pt idx="40" formatCode="0.0">
                  <c:v>14.597115384615378</c:v>
                </c:pt>
                <c:pt idx="41" formatCode="0.0">
                  <c:v>14.981249999999996</c:v>
                </c:pt>
                <c:pt idx="42" formatCode="0.0">
                  <c:v>15.365384615384613</c:v>
                </c:pt>
                <c:pt idx="43" formatCode="0.0">
                  <c:v>15.749519230769227</c:v>
                </c:pt>
                <c:pt idx="44" formatCode="0.0">
                  <c:v>16.133653846153841</c:v>
                </c:pt>
                <c:pt idx="45" formatCode="0.0">
                  <c:v>16.517788461538455</c:v>
                </c:pt>
                <c:pt idx="46" formatCode="0.0">
                  <c:v>16.901923076923072</c:v>
                </c:pt>
                <c:pt idx="47" formatCode="0.0">
                  <c:v>17.286057692307686</c:v>
                </c:pt>
                <c:pt idx="48" formatCode="0.0">
                  <c:v>17.670192307692304</c:v>
                </c:pt>
                <c:pt idx="49" formatCode="0.0">
                  <c:v>18.054326923076921</c:v>
                </c:pt>
                <c:pt idx="50" formatCode="0.0">
                  <c:v>18.438461538461535</c:v>
                </c:pt>
                <c:pt idx="51" formatCode="0.0">
                  <c:v>18.822596153846153</c:v>
                </c:pt>
                <c:pt idx="52" formatCode="0.0">
                  <c:v>19.206730769230766</c:v>
                </c:pt>
                <c:pt idx="53" formatCode="0.0">
                  <c:v>19.590865384615384</c:v>
                </c:pt>
                <c:pt idx="54" formatCode="0.0">
                  <c:v>19.975000000000001</c:v>
                </c:pt>
                <c:pt idx="55" formatCode="0.0">
                  <c:v>20.359134615384615</c:v>
                </c:pt>
                <c:pt idx="56" formatCode="0.0">
                  <c:v>20.743269230769236</c:v>
                </c:pt>
                <c:pt idx="57" formatCode="0.0">
                  <c:v>21.127403846153843</c:v>
                </c:pt>
                <c:pt idx="58" formatCode="0.0">
                  <c:v>21.511538461538461</c:v>
                </c:pt>
                <c:pt idx="59" formatCode="0.0">
                  <c:v>21.895673076923082</c:v>
                </c:pt>
                <c:pt idx="60" formatCode="0.0">
                  <c:v>22.279807692307696</c:v>
                </c:pt>
                <c:pt idx="61" formatCode="0.0">
                  <c:v>22.663942307692306</c:v>
                </c:pt>
                <c:pt idx="62" formatCode="0.0">
                  <c:v>23.04807692307692</c:v>
                </c:pt>
                <c:pt idx="63" formatCode="0.0">
                  <c:v>23.432211538461541</c:v>
                </c:pt>
                <c:pt idx="64" formatCode="0.0">
                  <c:v>23.816346153846158</c:v>
                </c:pt>
                <c:pt idx="65" formatCode="0.0">
                  <c:v>24.200480769230765</c:v>
                </c:pt>
                <c:pt idx="66" formatCode="0.0">
                  <c:v>24.584615384615386</c:v>
                </c:pt>
                <c:pt idx="67" formatCode="0.0">
                  <c:v>24.96875</c:v>
                </c:pt>
                <c:pt idx="68" formatCode="0.0">
                  <c:v>25.352884615384617</c:v>
                </c:pt>
                <c:pt idx="69" formatCode="0.0">
                  <c:v>25.737019230769238</c:v>
                </c:pt>
                <c:pt idx="70" formatCode="0.0">
                  <c:v>26.121153846153845</c:v>
                </c:pt>
                <c:pt idx="71" formatCode="0.0">
                  <c:v>26.505288461538463</c:v>
                </c:pt>
                <c:pt idx="72" formatCode="0.0">
                  <c:v>26.88942307692308</c:v>
                </c:pt>
                <c:pt idx="73" formatCode="0.0">
                  <c:v>27.273557692307698</c:v>
                </c:pt>
                <c:pt idx="74" formatCode="0.0">
                  <c:v>27.657692307692308</c:v>
                </c:pt>
                <c:pt idx="75" formatCode="0.0">
                  <c:v>28.041826923076922</c:v>
                </c:pt>
                <c:pt idx="76" formatCode="0.0">
                  <c:v>28.425961538461543</c:v>
                </c:pt>
                <c:pt idx="77" formatCode="0.0">
                  <c:v>28.810096153846157</c:v>
                </c:pt>
                <c:pt idx="78" formatCode="0.0">
                  <c:v>29.194230769230767</c:v>
                </c:pt>
                <c:pt idx="79" formatCode="0.0">
                  <c:v>29.578365384615388</c:v>
                </c:pt>
                <c:pt idx="80" formatCode="0.0">
                  <c:v>29.962500000000002</c:v>
                </c:pt>
                <c:pt idx="81" formatCode="0.0">
                  <c:v>30.34663461538462</c:v>
                </c:pt>
                <c:pt idx="82" formatCode="0.0">
                  <c:v>30.730769230769237</c:v>
                </c:pt>
                <c:pt idx="83" formatCode="0.0">
                  <c:v>31.114903846153847</c:v>
                </c:pt>
                <c:pt idx="84" formatCode="0.0">
                  <c:v>31.499038461538461</c:v>
                </c:pt>
                <c:pt idx="85" formatCode="0.0">
                  <c:v>31.883173076923079</c:v>
                </c:pt>
                <c:pt idx="86" formatCode="0.0">
                  <c:v>32.267307692307689</c:v>
                </c:pt>
                <c:pt idx="87" formatCode="0.0">
                  <c:v>32.651442307692307</c:v>
                </c:pt>
                <c:pt idx="88" formatCode="0.0">
                  <c:v>33.035576923076917</c:v>
                </c:pt>
                <c:pt idx="89" formatCode="0.0">
                  <c:v>33.419711538461534</c:v>
                </c:pt>
                <c:pt idx="90" formatCode="0.0">
                  <c:v>33.803846153846152</c:v>
                </c:pt>
                <c:pt idx="91" formatCode="0.0">
                  <c:v>34.187980769230762</c:v>
                </c:pt>
                <c:pt idx="92" formatCode="0.0">
                  <c:v>34.57211538461538</c:v>
                </c:pt>
                <c:pt idx="93" formatCode="0.0">
                  <c:v>34.956249999999997</c:v>
                </c:pt>
                <c:pt idx="94" formatCode="0.0">
                  <c:v>35.340384615384608</c:v>
                </c:pt>
                <c:pt idx="95" formatCode="0.0">
                  <c:v>35.724519230769225</c:v>
                </c:pt>
                <c:pt idx="96" formatCode="0.0">
                  <c:v>36.108653846153842</c:v>
                </c:pt>
                <c:pt idx="97" formatCode="0.0">
                  <c:v>36.492788461538453</c:v>
                </c:pt>
                <c:pt idx="98" formatCode="0.0">
                  <c:v>36.87692307692307</c:v>
                </c:pt>
                <c:pt idx="99" formatCode="0.0">
                  <c:v>37.261057692307681</c:v>
                </c:pt>
                <c:pt idx="100" formatCode="0.0">
                  <c:v>37.645192307692298</c:v>
                </c:pt>
                <c:pt idx="101" formatCode="0.0">
                  <c:v>38.029326923076908</c:v>
                </c:pt>
                <c:pt idx="102" formatCode="0.0">
                  <c:v>38.413461538461526</c:v>
                </c:pt>
                <c:pt idx="103" formatCode="0.0">
                  <c:v>38.797596153846143</c:v>
                </c:pt>
                <c:pt idx="104" formatCode="0.0">
                  <c:v>39.181730769230761</c:v>
                </c:pt>
                <c:pt idx="105" formatCode="0.0">
                  <c:v>39.565865384615378</c:v>
                </c:pt>
                <c:pt idx="106" formatCode="0.0">
                  <c:v>39.949999999999996</c:v>
                </c:pt>
                <c:pt idx="107" formatCode="0.0">
                  <c:v>40.449999999999996</c:v>
                </c:pt>
              </c:numCache>
            </c:numRef>
          </c:xVal>
          <c:yVal>
            <c:numRef>
              <c:f>Start_up!$O$8:$O$115</c:f>
              <c:numCache>
                <c:formatCode>General</c:formatCode>
                <c:ptCount val="108"/>
                <c:pt idx="0">
                  <c:v>0</c:v>
                </c:pt>
                <c:pt idx="1">
                  <c:v>0</c:v>
                </c:pt>
                <c:pt idx="2">
                  <c:v>72.340425531914903</c:v>
                </c:pt>
                <c:pt idx="3">
                  <c:v>71.64484451718495</c:v>
                </c:pt>
                <c:pt idx="4">
                  <c:v>70.949263502455011</c:v>
                </c:pt>
                <c:pt idx="5">
                  <c:v>70.253682487725044</c:v>
                </c:pt>
                <c:pt idx="6">
                  <c:v>69.558101472995105</c:v>
                </c:pt>
                <c:pt idx="7">
                  <c:v>68.862520458265152</c:v>
                </c:pt>
                <c:pt idx="8">
                  <c:v>68.166939443535199</c:v>
                </c:pt>
                <c:pt idx="9">
                  <c:v>67.471358428805246</c:v>
                </c:pt>
                <c:pt idx="10">
                  <c:v>66.775777414075293</c:v>
                </c:pt>
                <c:pt idx="11">
                  <c:v>66.08019639934534</c:v>
                </c:pt>
                <c:pt idx="12">
                  <c:v>65.384615384615401</c:v>
                </c:pt>
                <c:pt idx="13">
                  <c:v>64.689034369885448</c:v>
                </c:pt>
                <c:pt idx="14">
                  <c:v>63.993453355155495</c:v>
                </c:pt>
                <c:pt idx="15">
                  <c:v>63.297872340425542</c:v>
                </c:pt>
                <c:pt idx="16">
                  <c:v>62.602291325695596</c:v>
                </c:pt>
                <c:pt idx="17">
                  <c:v>61.906710310965643</c:v>
                </c:pt>
                <c:pt idx="18">
                  <c:v>61.21112929623569</c:v>
                </c:pt>
                <c:pt idx="19">
                  <c:v>60.515548281505744</c:v>
                </c:pt>
                <c:pt idx="20">
                  <c:v>59.819967266775791</c:v>
                </c:pt>
                <c:pt idx="21">
                  <c:v>59.124386252045838</c:v>
                </c:pt>
                <c:pt idx="22">
                  <c:v>58.428805237315885</c:v>
                </c:pt>
                <c:pt idx="23">
                  <c:v>57.733224222585932</c:v>
                </c:pt>
                <c:pt idx="24">
                  <c:v>57.037643207855986</c:v>
                </c:pt>
                <c:pt idx="25">
                  <c:v>56.342062193126033</c:v>
                </c:pt>
                <c:pt idx="26">
                  <c:v>55.64648117839608</c:v>
                </c:pt>
                <c:pt idx="27">
                  <c:v>54.950900163666134</c:v>
                </c:pt>
                <c:pt idx="28">
                  <c:v>54.255319148936181</c:v>
                </c:pt>
                <c:pt idx="29">
                  <c:v>53.559738134206221</c:v>
                </c:pt>
                <c:pt idx="30">
                  <c:v>52.864157119476282</c:v>
                </c:pt>
                <c:pt idx="31">
                  <c:v>52.168576104746322</c:v>
                </c:pt>
                <c:pt idx="32">
                  <c:v>51.472995090016376</c:v>
                </c:pt>
                <c:pt idx="33">
                  <c:v>50.777414075286423</c:v>
                </c:pt>
                <c:pt idx="34">
                  <c:v>50.081833060556477</c:v>
                </c:pt>
                <c:pt idx="35">
                  <c:v>49.386252045826517</c:v>
                </c:pt>
                <c:pt idx="36">
                  <c:v>48.690671031096578</c:v>
                </c:pt>
                <c:pt idx="37">
                  <c:v>47.995090016366618</c:v>
                </c:pt>
                <c:pt idx="38">
                  <c:v>47.299509001636679</c:v>
                </c:pt>
                <c:pt idx="39">
                  <c:v>46.603927986906719</c:v>
                </c:pt>
                <c:pt idx="40">
                  <c:v>45.908346972176773</c:v>
                </c:pt>
                <c:pt idx="41">
                  <c:v>45.21276595744682</c:v>
                </c:pt>
                <c:pt idx="42">
                  <c:v>44.51718494271686</c:v>
                </c:pt>
                <c:pt idx="43">
                  <c:v>43.821603927986914</c:v>
                </c:pt>
                <c:pt idx="44">
                  <c:v>43.126022913256961</c:v>
                </c:pt>
                <c:pt idx="45">
                  <c:v>42.430441898527015</c:v>
                </c:pt>
                <c:pt idx="46">
                  <c:v>41.734860883797054</c:v>
                </c:pt>
                <c:pt idx="47">
                  <c:v>41.039279869067116</c:v>
                </c:pt>
                <c:pt idx="48">
                  <c:v>40.343698854337156</c:v>
                </c:pt>
                <c:pt idx="49">
                  <c:v>39.648117839607217</c:v>
                </c:pt>
                <c:pt idx="50">
                  <c:v>38.952536824877257</c:v>
                </c:pt>
                <c:pt idx="51">
                  <c:v>38.256955810147304</c:v>
                </c:pt>
                <c:pt idx="52">
                  <c:v>37.561374795417358</c:v>
                </c:pt>
                <c:pt idx="53">
                  <c:v>36.865793780687405</c:v>
                </c:pt>
                <c:pt idx="54">
                  <c:v>36.170212765957451</c:v>
                </c:pt>
                <c:pt idx="55">
                  <c:v>35.474631751227506</c:v>
                </c:pt>
                <c:pt idx="56">
                  <c:v>34.779050736497545</c:v>
                </c:pt>
                <c:pt idx="57">
                  <c:v>34.083469721767599</c:v>
                </c:pt>
                <c:pt idx="58">
                  <c:v>33.387888707037654</c:v>
                </c:pt>
                <c:pt idx="59">
                  <c:v>32.692307692307693</c:v>
                </c:pt>
                <c:pt idx="60">
                  <c:v>31.996726677577744</c:v>
                </c:pt>
                <c:pt idx="61">
                  <c:v>31.301145662847802</c:v>
                </c:pt>
                <c:pt idx="62">
                  <c:v>30.605564648117848</c:v>
                </c:pt>
                <c:pt idx="63">
                  <c:v>29.909983633387892</c:v>
                </c:pt>
                <c:pt idx="64">
                  <c:v>29.214402618657942</c:v>
                </c:pt>
                <c:pt idx="65">
                  <c:v>28.518821603928</c:v>
                </c:pt>
                <c:pt idx="66">
                  <c:v>27.82324058919804</c:v>
                </c:pt>
                <c:pt idx="67">
                  <c:v>27.12765957446809</c:v>
                </c:pt>
                <c:pt idx="68">
                  <c:v>26.432078559738141</c:v>
                </c:pt>
                <c:pt idx="69">
                  <c:v>25.736497545008181</c:v>
                </c:pt>
                <c:pt idx="70">
                  <c:v>25.040916530278238</c:v>
                </c:pt>
                <c:pt idx="71">
                  <c:v>24.345335515548289</c:v>
                </c:pt>
                <c:pt idx="72">
                  <c:v>23.649754500818329</c:v>
                </c:pt>
                <c:pt idx="73">
                  <c:v>22.954173486088379</c:v>
                </c:pt>
                <c:pt idx="74">
                  <c:v>22.258592471358437</c:v>
                </c:pt>
                <c:pt idx="75">
                  <c:v>21.563011456628487</c:v>
                </c:pt>
                <c:pt idx="76">
                  <c:v>26.799198193377819</c:v>
                </c:pt>
                <c:pt idx="77">
                  <c:v>25.98337864314491</c:v>
                </c:pt>
                <c:pt idx="78">
                  <c:v>25.162215158000766</c:v>
                </c:pt>
                <c:pt idx="79">
                  <c:v>24.335707737945363</c:v>
                </c:pt>
                <c:pt idx="80">
                  <c:v>23.503856382978725</c:v>
                </c:pt>
                <c:pt idx="81">
                  <c:v>22.666661093100846</c:v>
                </c:pt>
                <c:pt idx="82">
                  <c:v>21.824121868311714</c:v>
                </c:pt>
                <c:pt idx="83">
                  <c:v>20.976238708611362</c:v>
                </c:pt>
                <c:pt idx="84">
                  <c:v>20.123011613999754</c:v>
                </c:pt>
                <c:pt idx="85">
                  <c:v>19.264440584476894</c:v>
                </c:pt>
                <c:pt idx="86">
                  <c:v>18.400525620042803</c:v>
                </c:pt>
                <c:pt idx="87">
                  <c:v>17.531266720697477</c:v>
                </c:pt>
                <c:pt idx="88">
                  <c:v>16.656663886440899</c:v>
                </c:pt>
                <c:pt idx="89">
                  <c:v>15.776717117273069</c:v>
                </c:pt>
                <c:pt idx="90">
                  <c:v>14.891426413194008</c:v>
                </c:pt>
                <c:pt idx="91">
                  <c:v>14.00079177420371</c:v>
                </c:pt>
                <c:pt idx="92">
                  <c:v>13.104813200302154</c:v>
                </c:pt>
                <c:pt idx="93">
                  <c:v>12.203490691489364</c:v>
                </c:pt>
                <c:pt idx="94">
                  <c:v>11.296824247765331</c:v>
                </c:pt>
                <c:pt idx="95">
                  <c:v>10.384813869130044</c:v>
                </c:pt>
                <c:pt idx="96">
                  <c:v>9.4674595555835364</c:v>
                </c:pt>
                <c:pt idx="97">
                  <c:v>8.5447613071257766</c:v>
                </c:pt>
                <c:pt idx="98">
                  <c:v>7.6167191237567629</c:v>
                </c:pt>
                <c:pt idx="99">
                  <c:v>6.6833330054765154</c:v>
                </c:pt>
                <c:pt idx="100">
                  <c:v>5.7446029522850273</c:v>
                </c:pt>
                <c:pt idx="101">
                  <c:v>4.8005289641823055</c:v>
                </c:pt>
                <c:pt idx="102">
                  <c:v>3.8511110411683211</c:v>
                </c:pt>
                <c:pt idx="103">
                  <c:v>2.8963491832431156</c:v>
                </c:pt>
                <c:pt idx="104">
                  <c:v>1.9362433904066461</c:v>
                </c:pt>
                <c:pt idx="105">
                  <c:v>0.97079366265893374</c:v>
                </c:pt>
                <c:pt idx="106">
                  <c:v>0</c:v>
                </c:pt>
                <c:pt idx="107">
                  <c:v>0</c:v>
                </c:pt>
              </c:numCache>
            </c:numRef>
          </c:yVal>
          <c:smooth val="0"/>
          <c:extLst>
            <c:ext xmlns:c16="http://schemas.microsoft.com/office/drawing/2014/chart" uri="{C3380CC4-5D6E-409C-BE32-E72D297353CC}">
              <c16:uniqueId val="{00000000-5D3A-48FA-BC7F-8CD74BDEB7E6}"/>
            </c:ext>
          </c:extLst>
        </c:ser>
        <c:dLbls>
          <c:showLegendKey val="0"/>
          <c:showVal val="0"/>
          <c:showCatName val="0"/>
          <c:showSerName val="0"/>
          <c:showPercent val="0"/>
          <c:showBubbleSize val="0"/>
        </c:dLbls>
        <c:axId val="97639040"/>
        <c:axId val="97760000"/>
      </c:scatterChart>
      <c:valAx>
        <c:axId val="97639040"/>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97760000"/>
        <c:crosses val="autoZero"/>
        <c:crossBetween val="midCat"/>
      </c:valAx>
      <c:valAx>
        <c:axId val="97760000"/>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97639040"/>
        <c:crossesAt val="-1"/>
        <c:crossBetween val="midCat"/>
      </c:valAx>
    </c:plotArea>
    <c:legend>
      <c:legendPos val="r"/>
      <c:layout>
        <c:manualLayout>
          <c:xMode val="edge"/>
          <c:yMode val="edge"/>
          <c:x val="0.60142685418076891"/>
          <c:y val="0.20767295705890407"/>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0.16346153846153846</c:v>
                </c:pt>
                <c:pt idx="2">
                  <c:v>0.32692307692307693</c:v>
                </c:pt>
                <c:pt idx="3">
                  <c:v>0.49038461538461542</c:v>
                </c:pt>
                <c:pt idx="4">
                  <c:v>0.65384615384615385</c:v>
                </c:pt>
                <c:pt idx="5">
                  <c:v>0.8173076923076924</c:v>
                </c:pt>
                <c:pt idx="6">
                  <c:v>0.98076923076923084</c:v>
                </c:pt>
                <c:pt idx="7">
                  <c:v>1.1442307692307692</c:v>
                </c:pt>
                <c:pt idx="8">
                  <c:v>1.3076923076923077</c:v>
                </c:pt>
                <c:pt idx="9">
                  <c:v>1.471153846153846</c:v>
                </c:pt>
                <c:pt idx="10">
                  <c:v>1.6346153846153848</c:v>
                </c:pt>
                <c:pt idx="11">
                  <c:v>1.7980769230769231</c:v>
                </c:pt>
                <c:pt idx="12">
                  <c:v>1.9615384615384617</c:v>
                </c:pt>
                <c:pt idx="13">
                  <c:v>2.125</c:v>
                </c:pt>
                <c:pt idx="14">
                  <c:v>2.2884615384615383</c:v>
                </c:pt>
                <c:pt idx="15">
                  <c:v>2.4519230769230766</c:v>
                </c:pt>
                <c:pt idx="16">
                  <c:v>2.6153846153846154</c:v>
                </c:pt>
                <c:pt idx="17">
                  <c:v>2.7788461538461537</c:v>
                </c:pt>
                <c:pt idx="18">
                  <c:v>2.9423076923076921</c:v>
                </c:pt>
                <c:pt idx="19">
                  <c:v>3.1057692307692304</c:v>
                </c:pt>
                <c:pt idx="20">
                  <c:v>3.2692307692307696</c:v>
                </c:pt>
                <c:pt idx="21">
                  <c:v>3.4326923076923079</c:v>
                </c:pt>
                <c:pt idx="22">
                  <c:v>3.5961538461538463</c:v>
                </c:pt>
                <c:pt idx="23">
                  <c:v>3.7596153846153846</c:v>
                </c:pt>
                <c:pt idx="24">
                  <c:v>3.9230769230769234</c:v>
                </c:pt>
                <c:pt idx="25">
                  <c:v>4.0865384615384617</c:v>
                </c:pt>
                <c:pt idx="26">
                  <c:v>4.25</c:v>
                </c:pt>
                <c:pt idx="27">
                  <c:v>4.4134615384615392</c:v>
                </c:pt>
                <c:pt idx="28">
                  <c:v>4.5769230769230766</c:v>
                </c:pt>
                <c:pt idx="29">
                  <c:v>4.7403846153846159</c:v>
                </c:pt>
                <c:pt idx="30">
                  <c:v>4.9038461538461533</c:v>
                </c:pt>
                <c:pt idx="31">
                  <c:v>5.0673076923076925</c:v>
                </c:pt>
                <c:pt idx="32">
                  <c:v>5.2307692307692308</c:v>
                </c:pt>
                <c:pt idx="33">
                  <c:v>5.3942307692307692</c:v>
                </c:pt>
                <c:pt idx="34">
                  <c:v>5.5576923076923075</c:v>
                </c:pt>
                <c:pt idx="35">
                  <c:v>5.7211538461538467</c:v>
                </c:pt>
                <c:pt idx="36">
                  <c:v>5.8846153846153841</c:v>
                </c:pt>
                <c:pt idx="37">
                  <c:v>6.0480769230769234</c:v>
                </c:pt>
                <c:pt idx="38">
                  <c:v>6.2115384615384608</c:v>
                </c:pt>
                <c:pt idx="39">
                  <c:v>6.375</c:v>
                </c:pt>
                <c:pt idx="40">
                  <c:v>6.5384615384615392</c:v>
                </c:pt>
                <c:pt idx="41">
                  <c:v>6.7019230769230766</c:v>
                </c:pt>
                <c:pt idx="42">
                  <c:v>6.8653846153846159</c:v>
                </c:pt>
                <c:pt idx="43">
                  <c:v>7.0288461538461533</c:v>
                </c:pt>
                <c:pt idx="44">
                  <c:v>7.1923076923076925</c:v>
                </c:pt>
                <c:pt idx="45">
                  <c:v>7.3557692307692308</c:v>
                </c:pt>
                <c:pt idx="46">
                  <c:v>7.5192307692307692</c:v>
                </c:pt>
                <c:pt idx="47">
                  <c:v>7.6826923076923075</c:v>
                </c:pt>
                <c:pt idx="48">
                  <c:v>7.8461538461538467</c:v>
                </c:pt>
                <c:pt idx="49">
                  <c:v>8.009615384615385</c:v>
                </c:pt>
                <c:pt idx="50">
                  <c:v>8.1730769230769234</c:v>
                </c:pt>
                <c:pt idx="51">
                  <c:v>8.3365384615384617</c:v>
                </c:pt>
                <c:pt idx="52">
                  <c:v>8.5</c:v>
                </c:pt>
                <c:pt idx="53">
                  <c:v>8.6634615384615383</c:v>
                </c:pt>
                <c:pt idx="54">
                  <c:v>8.8269230769230784</c:v>
                </c:pt>
                <c:pt idx="55">
                  <c:v>8.990384615384615</c:v>
                </c:pt>
                <c:pt idx="56">
                  <c:v>9.1538461538461533</c:v>
                </c:pt>
                <c:pt idx="57">
                  <c:v>9.3173076923076934</c:v>
                </c:pt>
                <c:pt idx="58">
                  <c:v>9.4807692307692317</c:v>
                </c:pt>
                <c:pt idx="59">
                  <c:v>9.6442307692307683</c:v>
                </c:pt>
                <c:pt idx="60">
                  <c:v>9.8076923076923066</c:v>
                </c:pt>
                <c:pt idx="61">
                  <c:v>9.9711538461538467</c:v>
                </c:pt>
                <c:pt idx="62">
                  <c:v>10.134615384615385</c:v>
                </c:pt>
                <c:pt idx="63">
                  <c:v>10.298076923076922</c:v>
                </c:pt>
                <c:pt idx="64">
                  <c:v>10.461538461538462</c:v>
                </c:pt>
                <c:pt idx="65">
                  <c:v>10.625</c:v>
                </c:pt>
                <c:pt idx="66">
                  <c:v>10.788461538461538</c:v>
                </c:pt>
                <c:pt idx="67">
                  <c:v>10.951923076923078</c:v>
                </c:pt>
                <c:pt idx="68">
                  <c:v>11.115384615384615</c:v>
                </c:pt>
                <c:pt idx="69">
                  <c:v>11.278846153846153</c:v>
                </c:pt>
                <c:pt idx="70">
                  <c:v>11.442307692307693</c:v>
                </c:pt>
                <c:pt idx="71">
                  <c:v>11.605769230769232</c:v>
                </c:pt>
                <c:pt idx="72">
                  <c:v>11.769230769230768</c:v>
                </c:pt>
                <c:pt idx="73">
                  <c:v>11.932692307692307</c:v>
                </c:pt>
                <c:pt idx="74">
                  <c:v>12.096153846153847</c:v>
                </c:pt>
                <c:pt idx="75">
                  <c:v>12.259615384615385</c:v>
                </c:pt>
                <c:pt idx="76">
                  <c:v>12.423076923076922</c:v>
                </c:pt>
                <c:pt idx="77">
                  <c:v>12.586538461538462</c:v>
                </c:pt>
                <c:pt idx="78">
                  <c:v>12.75</c:v>
                </c:pt>
                <c:pt idx="79">
                  <c:v>12.913461538461538</c:v>
                </c:pt>
                <c:pt idx="80">
                  <c:v>13.076923076923078</c:v>
                </c:pt>
                <c:pt idx="81">
                  <c:v>13.240384615384615</c:v>
                </c:pt>
                <c:pt idx="82">
                  <c:v>13.403846153846153</c:v>
                </c:pt>
                <c:pt idx="83">
                  <c:v>13.567307692307693</c:v>
                </c:pt>
                <c:pt idx="84">
                  <c:v>13.730769230769232</c:v>
                </c:pt>
                <c:pt idx="85">
                  <c:v>13.894230769230768</c:v>
                </c:pt>
                <c:pt idx="86">
                  <c:v>14.057692307692307</c:v>
                </c:pt>
                <c:pt idx="87">
                  <c:v>14.221153846153847</c:v>
                </c:pt>
                <c:pt idx="88">
                  <c:v>14.384615384615385</c:v>
                </c:pt>
                <c:pt idx="89">
                  <c:v>14.548076923076922</c:v>
                </c:pt>
                <c:pt idx="90">
                  <c:v>14.711538461538462</c:v>
                </c:pt>
                <c:pt idx="91">
                  <c:v>14.875</c:v>
                </c:pt>
                <c:pt idx="92">
                  <c:v>15.038461538461538</c:v>
                </c:pt>
                <c:pt idx="93">
                  <c:v>15.201923076923078</c:v>
                </c:pt>
                <c:pt idx="94">
                  <c:v>15.365384615384615</c:v>
                </c:pt>
                <c:pt idx="95">
                  <c:v>15.528846153846153</c:v>
                </c:pt>
                <c:pt idx="96">
                  <c:v>15.692307692307693</c:v>
                </c:pt>
                <c:pt idx="97">
                  <c:v>15.855769230769232</c:v>
                </c:pt>
                <c:pt idx="98">
                  <c:v>16.01923076923077</c:v>
                </c:pt>
                <c:pt idx="99">
                  <c:v>16.182692307692307</c:v>
                </c:pt>
                <c:pt idx="100">
                  <c:v>16.346153846153847</c:v>
                </c:pt>
                <c:pt idx="101">
                  <c:v>16.509615384615383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1.2096153846153848</c:v>
                </c:pt>
                <c:pt idx="75">
                  <c:v>1.2259615384615385</c:v>
                </c:pt>
                <c:pt idx="76">
                  <c:v>1.2423076923076921</c:v>
                </c:pt>
                <c:pt idx="77">
                  <c:v>1.2586538461538461</c:v>
                </c:pt>
                <c:pt idx="78">
                  <c:v>1.2749999999999999</c:v>
                </c:pt>
                <c:pt idx="79">
                  <c:v>1.2913461538461539</c:v>
                </c:pt>
                <c:pt idx="80">
                  <c:v>1.3076923076923079</c:v>
                </c:pt>
                <c:pt idx="81">
                  <c:v>1.3240384615384615</c:v>
                </c:pt>
                <c:pt idx="82">
                  <c:v>1.3403846153846153</c:v>
                </c:pt>
                <c:pt idx="83">
                  <c:v>1.3567307692307693</c:v>
                </c:pt>
                <c:pt idx="84">
                  <c:v>1.3730769230769231</c:v>
                </c:pt>
                <c:pt idx="85">
                  <c:v>1.3894230769230769</c:v>
                </c:pt>
                <c:pt idx="86">
                  <c:v>1.4057692307692307</c:v>
                </c:pt>
                <c:pt idx="87">
                  <c:v>1.4221153846153847</c:v>
                </c:pt>
                <c:pt idx="88">
                  <c:v>1.4384615384615385</c:v>
                </c:pt>
                <c:pt idx="89">
                  <c:v>1.4548076923076922</c:v>
                </c:pt>
                <c:pt idx="90">
                  <c:v>1.4711538461538463</c:v>
                </c:pt>
                <c:pt idx="91">
                  <c:v>1.4875</c:v>
                </c:pt>
                <c:pt idx="92">
                  <c:v>1.5038461538461538</c:v>
                </c:pt>
                <c:pt idx="93">
                  <c:v>1.5201923076923078</c:v>
                </c:pt>
                <c:pt idx="94">
                  <c:v>1.5365384615384614</c:v>
                </c:pt>
                <c:pt idx="95">
                  <c:v>1.5528846153846154</c:v>
                </c:pt>
                <c:pt idx="96">
                  <c:v>1.5692307692307694</c:v>
                </c:pt>
                <c:pt idx="97">
                  <c:v>1.5855769230769232</c:v>
                </c:pt>
                <c:pt idx="98">
                  <c:v>1.601923076923077</c:v>
                </c:pt>
                <c:pt idx="99">
                  <c:v>1.6182692307692306</c:v>
                </c:pt>
                <c:pt idx="100">
                  <c:v>1.6346153846153846</c:v>
                </c:pt>
                <c:pt idx="101">
                  <c:v>1.6509615384615384</c:v>
                </c:pt>
              </c:numCache>
            </c:numRef>
          </c:yVal>
          <c:smooth val="1"/>
          <c:extLst>
            <c:ext xmlns:c16="http://schemas.microsoft.com/office/drawing/2014/chart" uri="{C3380CC4-5D6E-409C-BE32-E72D297353CC}">
              <c16:uniqueId val="{00000000-4610-489E-BF40-FAB3B0240CF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0.16346153846153846</c:v>
                </c:pt>
                <c:pt idx="2">
                  <c:v>0.32692307692307693</c:v>
                </c:pt>
                <c:pt idx="3">
                  <c:v>0.49038461538461542</c:v>
                </c:pt>
                <c:pt idx="4">
                  <c:v>0.65384615384615385</c:v>
                </c:pt>
                <c:pt idx="5">
                  <c:v>0.8173076923076924</c:v>
                </c:pt>
                <c:pt idx="6">
                  <c:v>0.98076923076923084</c:v>
                </c:pt>
                <c:pt idx="7">
                  <c:v>1.1442307692307692</c:v>
                </c:pt>
                <c:pt idx="8">
                  <c:v>1.3076923076923077</c:v>
                </c:pt>
                <c:pt idx="9">
                  <c:v>1.471153846153846</c:v>
                </c:pt>
                <c:pt idx="10">
                  <c:v>1.6346153846153848</c:v>
                </c:pt>
                <c:pt idx="11">
                  <c:v>1.7980769230769231</c:v>
                </c:pt>
                <c:pt idx="12">
                  <c:v>1.9615384615384617</c:v>
                </c:pt>
                <c:pt idx="13">
                  <c:v>2.125</c:v>
                </c:pt>
                <c:pt idx="14">
                  <c:v>2.2884615384615383</c:v>
                </c:pt>
                <c:pt idx="15">
                  <c:v>2.4519230769230766</c:v>
                </c:pt>
                <c:pt idx="16">
                  <c:v>2.6153846153846154</c:v>
                </c:pt>
                <c:pt idx="17">
                  <c:v>2.7788461538461537</c:v>
                </c:pt>
                <c:pt idx="18">
                  <c:v>2.9423076923076921</c:v>
                </c:pt>
                <c:pt idx="19">
                  <c:v>3.1057692307692304</c:v>
                </c:pt>
                <c:pt idx="20">
                  <c:v>3.2692307692307696</c:v>
                </c:pt>
                <c:pt idx="21">
                  <c:v>3.4326923076923079</c:v>
                </c:pt>
                <c:pt idx="22">
                  <c:v>3.5961538461538463</c:v>
                </c:pt>
                <c:pt idx="23">
                  <c:v>3.7596153846153846</c:v>
                </c:pt>
                <c:pt idx="24">
                  <c:v>3.9230769230769234</c:v>
                </c:pt>
                <c:pt idx="25">
                  <c:v>4.0865384615384617</c:v>
                </c:pt>
                <c:pt idx="26">
                  <c:v>4.25</c:v>
                </c:pt>
                <c:pt idx="27">
                  <c:v>4.4134615384615392</c:v>
                </c:pt>
                <c:pt idx="28">
                  <c:v>4.5769230769230766</c:v>
                </c:pt>
                <c:pt idx="29">
                  <c:v>4.7403846153846159</c:v>
                </c:pt>
                <c:pt idx="30">
                  <c:v>4.9038461538461533</c:v>
                </c:pt>
                <c:pt idx="31">
                  <c:v>5.0673076923076925</c:v>
                </c:pt>
                <c:pt idx="32">
                  <c:v>5.2307692307692308</c:v>
                </c:pt>
                <c:pt idx="33">
                  <c:v>5.3942307692307692</c:v>
                </c:pt>
                <c:pt idx="34">
                  <c:v>5.5576923076923075</c:v>
                </c:pt>
                <c:pt idx="35">
                  <c:v>5.7211538461538467</c:v>
                </c:pt>
                <c:pt idx="36">
                  <c:v>5.8846153846153841</c:v>
                </c:pt>
                <c:pt idx="37">
                  <c:v>6.0480769230769234</c:v>
                </c:pt>
                <c:pt idx="38">
                  <c:v>6.2115384615384608</c:v>
                </c:pt>
                <c:pt idx="39">
                  <c:v>6.375</c:v>
                </c:pt>
                <c:pt idx="40">
                  <c:v>6.5384615384615392</c:v>
                </c:pt>
                <c:pt idx="41">
                  <c:v>6.7019230769230766</c:v>
                </c:pt>
                <c:pt idx="42">
                  <c:v>6.8653846153846159</c:v>
                </c:pt>
                <c:pt idx="43">
                  <c:v>7.0288461538461533</c:v>
                </c:pt>
                <c:pt idx="44">
                  <c:v>7.1923076923076925</c:v>
                </c:pt>
                <c:pt idx="45">
                  <c:v>7.3557692307692308</c:v>
                </c:pt>
                <c:pt idx="46">
                  <c:v>7.5192307692307692</c:v>
                </c:pt>
                <c:pt idx="47">
                  <c:v>7.6826923076923075</c:v>
                </c:pt>
                <c:pt idx="48">
                  <c:v>7.8461538461538467</c:v>
                </c:pt>
                <c:pt idx="49">
                  <c:v>8.009615384615385</c:v>
                </c:pt>
                <c:pt idx="50">
                  <c:v>8.1730769230769234</c:v>
                </c:pt>
                <c:pt idx="51">
                  <c:v>8.3365384615384617</c:v>
                </c:pt>
                <c:pt idx="52">
                  <c:v>8.5</c:v>
                </c:pt>
                <c:pt idx="53">
                  <c:v>8.6634615384615383</c:v>
                </c:pt>
                <c:pt idx="54">
                  <c:v>8.8269230769230784</c:v>
                </c:pt>
                <c:pt idx="55">
                  <c:v>8.990384615384615</c:v>
                </c:pt>
                <c:pt idx="56">
                  <c:v>9.1538461538461533</c:v>
                </c:pt>
                <c:pt idx="57">
                  <c:v>9.3173076923076934</c:v>
                </c:pt>
                <c:pt idx="58">
                  <c:v>9.4807692307692317</c:v>
                </c:pt>
                <c:pt idx="59">
                  <c:v>9.6442307692307683</c:v>
                </c:pt>
                <c:pt idx="60">
                  <c:v>9.8076923076923066</c:v>
                </c:pt>
                <c:pt idx="61">
                  <c:v>9.9711538461538467</c:v>
                </c:pt>
                <c:pt idx="62">
                  <c:v>10.134615384615385</c:v>
                </c:pt>
                <c:pt idx="63">
                  <c:v>10.298076923076922</c:v>
                </c:pt>
                <c:pt idx="64">
                  <c:v>10.461538461538462</c:v>
                </c:pt>
                <c:pt idx="65">
                  <c:v>10.625</c:v>
                </c:pt>
                <c:pt idx="66">
                  <c:v>10.788461538461538</c:v>
                </c:pt>
                <c:pt idx="67">
                  <c:v>10.951923076923078</c:v>
                </c:pt>
                <c:pt idx="68">
                  <c:v>11.115384615384615</c:v>
                </c:pt>
                <c:pt idx="69">
                  <c:v>11.278846153846153</c:v>
                </c:pt>
                <c:pt idx="70">
                  <c:v>11.442307692307693</c:v>
                </c:pt>
                <c:pt idx="71">
                  <c:v>11.605769230769232</c:v>
                </c:pt>
                <c:pt idx="72">
                  <c:v>11.769230769230768</c:v>
                </c:pt>
                <c:pt idx="73">
                  <c:v>11.932692307692307</c:v>
                </c:pt>
                <c:pt idx="74">
                  <c:v>12.096153846153847</c:v>
                </c:pt>
                <c:pt idx="75">
                  <c:v>12.259615384615385</c:v>
                </c:pt>
                <c:pt idx="76">
                  <c:v>12.423076923076922</c:v>
                </c:pt>
                <c:pt idx="77">
                  <c:v>12.586538461538462</c:v>
                </c:pt>
                <c:pt idx="78">
                  <c:v>12.75</c:v>
                </c:pt>
                <c:pt idx="79">
                  <c:v>12.913461538461538</c:v>
                </c:pt>
                <c:pt idx="80">
                  <c:v>13.076923076923078</c:v>
                </c:pt>
                <c:pt idx="81">
                  <c:v>13.240384615384615</c:v>
                </c:pt>
                <c:pt idx="82">
                  <c:v>13.403846153846153</c:v>
                </c:pt>
                <c:pt idx="83">
                  <c:v>13.567307692307693</c:v>
                </c:pt>
                <c:pt idx="84">
                  <c:v>13.730769230769232</c:v>
                </c:pt>
                <c:pt idx="85">
                  <c:v>13.894230769230768</c:v>
                </c:pt>
                <c:pt idx="86">
                  <c:v>14.057692307692307</c:v>
                </c:pt>
                <c:pt idx="87">
                  <c:v>14.221153846153847</c:v>
                </c:pt>
                <c:pt idx="88">
                  <c:v>14.384615384615385</c:v>
                </c:pt>
                <c:pt idx="89">
                  <c:v>14.548076923076922</c:v>
                </c:pt>
                <c:pt idx="90">
                  <c:v>14.711538461538462</c:v>
                </c:pt>
                <c:pt idx="91">
                  <c:v>14.875</c:v>
                </c:pt>
                <c:pt idx="92">
                  <c:v>15.038461538461538</c:v>
                </c:pt>
                <c:pt idx="93">
                  <c:v>15.201923076923078</c:v>
                </c:pt>
                <c:pt idx="94">
                  <c:v>15.365384615384615</c:v>
                </c:pt>
                <c:pt idx="95">
                  <c:v>15.528846153846153</c:v>
                </c:pt>
                <c:pt idx="96">
                  <c:v>15.692307692307693</c:v>
                </c:pt>
                <c:pt idx="97">
                  <c:v>15.855769230769232</c:v>
                </c:pt>
                <c:pt idx="98">
                  <c:v>16.01923076923077</c:v>
                </c:pt>
                <c:pt idx="99">
                  <c:v>16.182692307692307</c:v>
                </c:pt>
                <c:pt idx="100">
                  <c:v>16.346153846153847</c:v>
                </c:pt>
                <c:pt idx="101">
                  <c:v>16.509615384615383</c:v>
                </c:pt>
              </c:numCache>
            </c:numRef>
          </c:xVal>
          <c:yVal>
            <c:numRef>
              <c:f>Start_up!$G$10:$G$112</c:f>
              <c:numCache>
                <c:formatCode>General</c:formatCode>
                <c:ptCount val="103"/>
                <c:pt idx="0">
                  <c:v>4.255319148936171</c:v>
                </c:pt>
                <c:pt idx="1">
                  <c:v>4.255319148936171</c:v>
                </c:pt>
                <c:pt idx="2">
                  <c:v>4.255319148936171</c:v>
                </c:pt>
                <c:pt idx="3">
                  <c:v>4.255319148936171</c:v>
                </c:pt>
                <c:pt idx="4">
                  <c:v>4.255319148936171</c:v>
                </c:pt>
                <c:pt idx="5">
                  <c:v>4.255319148936171</c:v>
                </c:pt>
                <c:pt idx="6">
                  <c:v>4.255319148936171</c:v>
                </c:pt>
                <c:pt idx="7">
                  <c:v>4.255319148936171</c:v>
                </c:pt>
                <c:pt idx="8">
                  <c:v>4.255319148936171</c:v>
                </c:pt>
                <c:pt idx="9">
                  <c:v>4.255319148936171</c:v>
                </c:pt>
                <c:pt idx="10">
                  <c:v>4.255319148936171</c:v>
                </c:pt>
                <c:pt idx="11">
                  <c:v>4.255319148936171</c:v>
                </c:pt>
                <c:pt idx="12">
                  <c:v>4.255319148936171</c:v>
                </c:pt>
                <c:pt idx="13">
                  <c:v>4.255319148936171</c:v>
                </c:pt>
                <c:pt idx="14">
                  <c:v>4.255319148936171</c:v>
                </c:pt>
                <c:pt idx="15">
                  <c:v>4.255319148936171</c:v>
                </c:pt>
                <c:pt idx="16">
                  <c:v>4.255319148936171</c:v>
                </c:pt>
                <c:pt idx="17">
                  <c:v>4.255319148936171</c:v>
                </c:pt>
                <c:pt idx="18">
                  <c:v>4.255319148936171</c:v>
                </c:pt>
                <c:pt idx="19">
                  <c:v>4.255319148936171</c:v>
                </c:pt>
                <c:pt idx="20">
                  <c:v>4.255319148936171</c:v>
                </c:pt>
                <c:pt idx="21">
                  <c:v>4.255319148936171</c:v>
                </c:pt>
                <c:pt idx="22">
                  <c:v>4.255319148936171</c:v>
                </c:pt>
                <c:pt idx="23">
                  <c:v>4.255319148936171</c:v>
                </c:pt>
                <c:pt idx="24">
                  <c:v>4.255319148936171</c:v>
                </c:pt>
                <c:pt idx="25">
                  <c:v>4.255319148936171</c:v>
                </c:pt>
                <c:pt idx="26">
                  <c:v>4.255319148936171</c:v>
                </c:pt>
                <c:pt idx="27">
                  <c:v>4.255319148936171</c:v>
                </c:pt>
                <c:pt idx="28">
                  <c:v>4.255319148936171</c:v>
                </c:pt>
                <c:pt idx="29">
                  <c:v>4.255319148936171</c:v>
                </c:pt>
                <c:pt idx="30">
                  <c:v>4.255319148936171</c:v>
                </c:pt>
                <c:pt idx="31">
                  <c:v>4.255319148936171</c:v>
                </c:pt>
                <c:pt idx="32">
                  <c:v>4.255319148936171</c:v>
                </c:pt>
                <c:pt idx="33">
                  <c:v>4.255319148936171</c:v>
                </c:pt>
                <c:pt idx="34">
                  <c:v>4.255319148936171</c:v>
                </c:pt>
                <c:pt idx="35">
                  <c:v>4.255319148936171</c:v>
                </c:pt>
                <c:pt idx="36">
                  <c:v>4.255319148936171</c:v>
                </c:pt>
                <c:pt idx="37">
                  <c:v>4.255319148936171</c:v>
                </c:pt>
                <c:pt idx="38">
                  <c:v>4.255319148936171</c:v>
                </c:pt>
                <c:pt idx="39">
                  <c:v>4.255319148936171</c:v>
                </c:pt>
                <c:pt idx="40">
                  <c:v>4.255319148936171</c:v>
                </c:pt>
                <c:pt idx="41">
                  <c:v>4.255319148936171</c:v>
                </c:pt>
                <c:pt idx="42">
                  <c:v>4.255319148936171</c:v>
                </c:pt>
                <c:pt idx="43">
                  <c:v>4.255319148936171</c:v>
                </c:pt>
                <c:pt idx="44">
                  <c:v>4.255319148936171</c:v>
                </c:pt>
                <c:pt idx="45">
                  <c:v>4.255319148936171</c:v>
                </c:pt>
                <c:pt idx="46">
                  <c:v>4.255319148936171</c:v>
                </c:pt>
                <c:pt idx="47">
                  <c:v>4.255319148936171</c:v>
                </c:pt>
                <c:pt idx="48">
                  <c:v>4.255319148936171</c:v>
                </c:pt>
                <c:pt idx="49">
                  <c:v>4.255319148936171</c:v>
                </c:pt>
                <c:pt idx="50">
                  <c:v>4.255319148936171</c:v>
                </c:pt>
                <c:pt idx="51">
                  <c:v>4.255319148936171</c:v>
                </c:pt>
                <c:pt idx="52">
                  <c:v>4.255319148936171</c:v>
                </c:pt>
                <c:pt idx="53">
                  <c:v>4.255319148936171</c:v>
                </c:pt>
                <c:pt idx="54">
                  <c:v>4.255319148936171</c:v>
                </c:pt>
                <c:pt idx="55">
                  <c:v>4.255319148936171</c:v>
                </c:pt>
                <c:pt idx="56">
                  <c:v>4.255319148936171</c:v>
                </c:pt>
                <c:pt idx="57">
                  <c:v>4.255319148936171</c:v>
                </c:pt>
                <c:pt idx="58">
                  <c:v>4.255319148936171</c:v>
                </c:pt>
                <c:pt idx="59">
                  <c:v>4.255319148936171</c:v>
                </c:pt>
                <c:pt idx="60">
                  <c:v>4.255319148936171</c:v>
                </c:pt>
                <c:pt idx="61">
                  <c:v>4.255319148936171</c:v>
                </c:pt>
                <c:pt idx="62">
                  <c:v>4.255319148936171</c:v>
                </c:pt>
                <c:pt idx="63">
                  <c:v>4.255319148936171</c:v>
                </c:pt>
                <c:pt idx="64">
                  <c:v>4.255319148936171</c:v>
                </c:pt>
                <c:pt idx="65">
                  <c:v>4.255319148936171</c:v>
                </c:pt>
                <c:pt idx="66">
                  <c:v>4.255319148936171</c:v>
                </c:pt>
                <c:pt idx="67">
                  <c:v>4.255319148936171</c:v>
                </c:pt>
                <c:pt idx="68">
                  <c:v>4.255319148936171</c:v>
                </c:pt>
                <c:pt idx="69">
                  <c:v>4.255319148936171</c:v>
                </c:pt>
                <c:pt idx="70">
                  <c:v>4.255319148936171</c:v>
                </c:pt>
                <c:pt idx="71">
                  <c:v>4.255319148936171</c:v>
                </c:pt>
                <c:pt idx="72">
                  <c:v>4.255319148936171</c:v>
                </c:pt>
                <c:pt idx="73">
                  <c:v>4.255319148936171</c:v>
                </c:pt>
                <c:pt idx="74">
                  <c:v>5.4649345335515562</c:v>
                </c:pt>
                <c:pt idx="75">
                  <c:v>5.4812806873977094</c:v>
                </c:pt>
                <c:pt idx="76">
                  <c:v>5.4976268412438634</c:v>
                </c:pt>
                <c:pt idx="77">
                  <c:v>5.5139729950900174</c:v>
                </c:pt>
                <c:pt idx="78">
                  <c:v>5.5303191489361705</c:v>
                </c:pt>
                <c:pt idx="79">
                  <c:v>5.5466653027823245</c:v>
                </c:pt>
                <c:pt idx="80">
                  <c:v>5.5630114566284785</c:v>
                </c:pt>
                <c:pt idx="81">
                  <c:v>5.5793576104746325</c:v>
                </c:pt>
                <c:pt idx="82">
                  <c:v>5.5957037643207865</c:v>
                </c:pt>
                <c:pt idx="83">
                  <c:v>5.6120499181669405</c:v>
                </c:pt>
                <c:pt idx="84">
                  <c:v>5.6283960720130946</c:v>
                </c:pt>
                <c:pt idx="85">
                  <c:v>5.6447422258592477</c:v>
                </c:pt>
                <c:pt idx="86">
                  <c:v>5.6610883797054017</c:v>
                </c:pt>
                <c:pt idx="87">
                  <c:v>5.6774345335515557</c:v>
                </c:pt>
                <c:pt idx="88">
                  <c:v>5.6937806873977097</c:v>
                </c:pt>
                <c:pt idx="89">
                  <c:v>5.7101268412438628</c:v>
                </c:pt>
                <c:pt idx="90">
                  <c:v>5.7264729950900168</c:v>
                </c:pt>
                <c:pt idx="91">
                  <c:v>5.7428191489361708</c:v>
                </c:pt>
                <c:pt idx="92">
                  <c:v>5.7591653027823249</c:v>
                </c:pt>
                <c:pt idx="93">
                  <c:v>5.7755114566284789</c:v>
                </c:pt>
                <c:pt idx="94">
                  <c:v>5.7918576104746329</c:v>
                </c:pt>
                <c:pt idx="95">
                  <c:v>5.8082037643207869</c:v>
                </c:pt>
                <c:pt idx="96">
                  <c:v>5.8245499181669409</c:v>
                </c:pt>
                <c:pt idx="97">
                  <c:v>5.840896072013094</c:v>
                </c:pt>
                <c:pt idx="98">
                  <c:v>5.857242225859248</c:v>
                </c:pt>
                <c:pt idx="99">
                  <c:v>5.8735883797054012</c:v>
                </c:pt>
                <c:pt idx="100">
                  <c:v>5.8899345335515552</c:v>
                </c:pt>
                <c:pt idx="101">
                  <c:v>5.9062806873977092</c:v>
                </c:pt>
                <c:pt idx="102">
                  <c:v>5.9226268412438632</c:v>
                </c:pt>
              </c:numCache>
            </c:numRef>
          </c:yVal>
          <c:smooth val="1"/>
          <c:extLst>
            <c:ext xmlns:c16="http://schemas.microsoft.com/office/drawing/2014/chart" uri="{C3380CC4-5D6E-409C-BE32-E72D297353CC}">
              <c16:uniqueId val="{00000001-4610-489E-BF40-FAB3B0240CF1}"/>
            </c:ext>
          </c:extLst>
        </c:ser>
        <c:dLbls>
          <c:showLegendKey val="0"/>
          <c:showVal val="0"/>
          <c:showCatName val="0"/>
          <c:showSerName val="0"/>
          <c:showPercent val="0"/>
          <c:showBubbleSize val="0"/>
        </c:dLbls>
        <c:axId val="99058816"/>
        <c:axId val="99060736"/>
      </c:scatterChart>
      <c:valAx>
        <c:axId val="9905881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99060736"/>
        <c:crosses val="autoZero"/>
        <c:crossBetween val="midCat"/>
      </c:valAx>
      <c:valAx>
        <c:axId val="9906073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9905881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8.png"/><Relationship Id="rId18" Type="http://schemas.openxmlformats.org/officeDocument/2006/relationships/image" Target="../media/image12.png"/><Relationship Id="rId26" Type="http://schemas.openxmlformats.org/officeDocument/2006/relationships/image" Target="../media/image16.png"/><Relationship Id="rId3" Type="http://schemas.openxmlformats.org/officeDocument/2006/relationships/hyperlink" Target="http://www.ti.com/" TargetMode="External"/><Relationship Id="rId21" Type="http://schemas.openxmlformats.org/officeDocument/2006/relationships/hyperlink" Target="https://training.ti.com/node/1133673" TargetMode="External"/><Relationship Id="rId7" Type="http://schemas.openxmlformats.org/officeDocument/2006/relationships/image" Target="../media/image6.emf"/><Relationship Id="rId12" Type="http://schemas.openxmlformats.org/officeDocument/2006/relationships/hyperlink" Target="http://www.ti.com/product/lm5066i" TargetMode="External"/><Relationship Id="rId17" Type="http://schemas.openxmlformats.org/officeDocument/2006/relationships/hyperlink" Target="http://www.ti.com/power-management/protection-monitoring-hot-swap/controllers/support-training.html#videos" TargetMode="External"/><Relationship Id="rId25" Type="http://schemas.openxmlformats.org/officeDocument/2006/relationships/hyperlink" Target="https://training.ti.com/node/1133681" TargetMode="External"/><Relationship Id="rId2" Type="http://schemas.openxmlformats.org/officeDocument/2006/relationships/hyperlink" Target="http://www.ti.com/lit/gpn/lm5066i" TargetMode="External"/><Relationship Id="rId16" Type="http://schemas.openxmlformats.org/officeDocument/2006/relationships/image" Target="../media/image11.png"/><Relationship Id="rId20" Type="http://schemas.openxmlformats.org/officeDocument/2006/relationships/image" Target="../media/image13.png"/><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chart" Target="../charts/chart3.xml"/><Relationship Id="rId24" Type="http://schemas.openxmlformats.org/officeDocument/2006/relationships/image" Target="../media/image15.png"/><Relationship Id="rId5" Type="http://schemas.openxmlformats.org/officeDocument/2006/relationships/image" Target="../media/image4.emf"/><Relationship Id="rId15" Type="http://schemas.openxmlformats.org/officeDocument/2006/relationships/image" Target="../media/image10.png"/><Relationship Id="rId23" Type="http://schemas.openxmlformats.org/officeDocument/2006/relationships/hyperlink" Target="https://training.ti.com/node/1133664" TargetMode="External"/><Relationship Id="rId10" Type="http://schemas.openxmlformats.org/officeDocument/2006/relationships/chart" Target="../charts/chart2.xml"/><Relationship Id="rId19" Type="http://schemas.openxmlformats.org/officeDocument/2006/relationships/hyperlink" Target="https://training.ti.com/node/1133677" TargetMode="External"/><Relationship Id="rId4" Type="http://schemas.openxmlformats.org/officeDocument/2006/relationships/image" Target="../media/image3.png"/><Relationship Id="rId9" Type="http://schemas.openxmlformats.org/officeDocument/2006/relationships/chart" Target="../charts/chart1.xml"/><Relationship Id="rId14" Type="http://schemas.openxmlformats.org/officeDocument/2006/relationships/image" Target="../media/image9.png"/><Relationship Id="rId22" Type="http://schemas.openxmlformats.org/officeDocument/2006/relationships/image" Target="../media/image1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96982</xdr:colOff>
      <xdr:row>1</xdr:row>
      <xdr:rowOff>132484</xdr:rowOff>
    </xdr:from>
    <xdr:to>
      <xdr:col>15</xdr:col>
      <xdr:colOff>678007</xdr:colOff>
      <xdr:row>5</xdr:row>
      <xdr:rowOff>65809</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6982" y="312593"/>
          <a:ext cx="9725025" cy="9447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134376</xdr:colOff>
      <xdr:row>127</xdr:row>
      <xdr:rowOff>65676</xdr:rowOff>
    </xdr:from>
    <xdr:to>
      <xdr:col>4</xdr:col>
      <xdr:colOff>697591</xdr:colOff>
      <xdr:row>141</xdr:row>
      <xdr:rowOff>64232</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t="927" r="703"/>
        <a:stretch/>
      </xdr:blipFill>
      <xdr:spPr>
        <a:xfrm>
          <a:off x="170235" y="21428570"/>
          <a:ext cx="4803521" cy="2625215"/>
        </a:xfrm>
        <a:prstGeom prst="rect">
          <a:avLst/>
        </a:prstGeom>
      </xdr:spPr>
    </xdr:pic>
    <xdr:clientData/>
  </xdr:twoCellAnchor>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2"/>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LM5066I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LM5066I datasheet for more detail.</a:t>
          </a:r>
        </a:p>
      </xdr:txBody>
    </xdr:sp>
    <xdr:clientData/>
  </xdr:twoCellAnchor>
  <xdr:twoCellAnchor>
    <xdr:from>
      <xdr:col>39</xdr:col>
      <xdr:colOff>0</xdr:colOff>
      <xdr:row>62</xdr:row>
      <xdr:rowOff>0</xdr:rowOff>
    </xdr:from>
    <xdr:to>
      <xdr:col>39</xdr:col>
      <xdr:colOff>0</xdr:colOff>
      <xdr:row>69</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1667212</xdr:colOff>
      <xdr:row>0</xdr:row>
      <xdr:rowOff>609600</xdr:rowOff>
    </xdr:to>
    <xdr:pic>
      <xdr:nvPicPr>
        <xdr:cNvPr id="10" name="Picture 9">
          <a:hlinkClick xmlns:r="http://schemas.openxmlformats.org/officeDocument/2006/relationships" r:id="rId3"/>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164</xdr:row>
      <xdr:rowOff>95251</xdr:rowOff>
    </xdr:from>
    <xdr:to>
      <xdr:col>10</xdr:col>
      <xdr:colOff>624559</xdr:colOff>
      <xdr:row>164</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278035</xdr:colOff>
      <xdr:row>106</xdr:row>
      <xdr:rowOff>66261</xdr:rowOff>
    </xdr:from>
    <xdr:to>
      <xdr:col>12</xdr:col>
      <xdr:colOff>325531</xdr:colOff>
      <xdr:row>107</xdr:row>
      <xdr:rowOff>74576</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7" cstate="print"/>
        <a:srcRect t="89127"/>
        <a:stretch/>
      </xdr:blipFill>
      <xdr:spPr bwMode="auto">
        <a:xfrm>
          <a:off x="7898035" y="17468022"/>
          <a:ext cx="2797322" cy="198816"/>
        </a:xfrm>
        <a:prstGeom prst="rect">
          <a:avLst/>
        </a:prstGeom>
        <a:noFill/>
      </xdr:spPr>
    </xdr:pic>
    <xdr:clientData/>
  </xdr:twoCellAnchor>
  <xdr:twoCellAnchor editAs="oneCell">
    <xdr:from>
      <xdr:col>8</xdr:col>
      <xdr:colOff>354105</xdr:colOff>
      <xdr:row>119</xdr:row>
      <xdr:rowOff>0</xdr:rowOff>
    </xdr:from>
    <xdr:to>
      <xdr:col>12</xdr:col>
      <xdr:colOff>397249</xdr:colOff>
      <xdr:row>120</xdr:row>
      <xdr:rowOff>20972</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8" cstate="print"/>
        <a:srcRect t="88613"/>
        <a:stretch/>
      </xdr:blipFill>
      <xdr:spPr bwMode="auto">
        <a:xfrm>
          <a:off x="7974105" y="19878261"/>
          <a:ext cx="2792970" cy="211473"/>
        </a:xfrm>
        <a:prstGeom prst="rect">
          <a:avLst/>
        </a:prstGeom>
        <a:noFill/>
      </xdr:spPr>
    </xdr:pic>
    <xdr:clientData/>
  </xdr:twoCellAnchor>
  <xdr:twoCellAnchor>
    <xdr:from>
      <xdr:col>7</xdr:col>
      <xdr:colOff>274321</xdr:colOff>
      <xdr:row>52</xdr:row>
      <xdr:rowOff>76201</xdr:rowOff>
    </xdr:from>
    <xdr:to>
      <xdr:col>38</xdr:col>
      <xdr:colOff>89647</xdr:colOff>
      <xdr:row>66</xdr:row>
      <xdr:rowOff>141941</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8</xdr:col>
      <xdr:colOff>53340</xdr:colOff>
      <xdr:row>44</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69</xdr:row>
      <xdr:rowOff>94131</xdr:rowOff>
    </xdr:from>
    <xdr:to>
      <xdr:col>38</xdr:col>
      <xdr:colOff>215153</xdr:colOff>
      <xdr:row>83</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11</xdr:col>
      <xdr:colOff>434340</xdr:colOff>
      <xdr:row>58</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83</xdr:row>
      <xdr:rowOff>125506</xdr:rowOff>
    </xdr:from>
    <xdr:to>
      <xdr:col>38</xdr:col>
      <xdr:colOff>282193</xdr:colOff>
      <xdr:row>94</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12</xdr:col>
      <xdr:colOff>662940</xdr:colOff>
      <xdr:row>71</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536762</xdr:colOff>
      <xdr:row>3</xdr:row>
      <xdr:rowOff>63313</xdr:rowOff>
    </xdr:from>
    <xdr:to>
      <xdr:col>11</xdr:col>
      <xdr:colOff>374587</xdr:colOff>
      <xdr:row>9</xdr:row>
      <xdr:rowOff>169064</xdr:rowOff>
    </xdr:to>
    <xdr:pic>
      <xdr:nvPicPr>
        <xdr:cNvPr id="6" name="Picture 5">
          <a:hlinkClick xmlns:r="http://schemas.openxmlformats.org/officeDocument/2006/relationships" r:id="rId1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3"/>
        <a:stretch>
          <a:fillRect/>
        </a:stretch>
      </xdr:blipFill>
      <xdr:spPr>
        <a:xfrm>
          <a:off x="7699562" y="1196788"/>
          <a:ext cx="1990476" cy="1161905"/>
        </a:xfrm>
        <a:prstGeom prst="rect">
          <a:avLst/>
        </a:prstGeom>
      </xdr:spPr>
    </xdr:pic>
    <xdr:clientData/>
  </xdr:twoCellAnchor>
  <xdr:twoCellAnchor>
    <xdr:from>
      <xdr:col>8</xdr:col>
      <xdr:colOff>405845</xdr:colOff>
      <xdr:row>37</xdr:row>
      <xdr:rowOff>157373</xdr:rowOff>
    </xdr:from>
    <xdr:to>
      <xdr:col>12</xdr:col>
      <xdr:colOff>517904</xdr:colOff>
      <xdr:row>51</xdr:row>
      <xdr:rowOff>39315</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8006795" y="8253623"/>
          <a:ext cx="2836209"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4"/>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clientData/>
  </xdr:twoCellAnchor>
  <xdr:twoCellAnchor editAs="oneCell">
    <xdr:from>
      <xdr:col>8</xdr:col>
      <xdr:colOff>157369</xdr:colOff>
      <xdr:row>96</xdr:row>
      <xdr:rowOff>8282</xdr:rowOff>
    </xdr:from>
    <xdr:to>
      <xdr:col>12</xdr:col>
      <xdr:colOff>493054</xdr:colOff>
      <xdr:row>106</xdr:row>
      <xdr:rowOff>99392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5"/>
        <a:stretch>
          <a:fillRect/>
        </a:stretch>
      </xdr:blipFill>
      <xdr:spPr>
        <a:xfrm>
          <a:off x="7777369" y="15505043"/>
          <a:ext cx="3085511" cy="1996109"/>
        </a:xfrm>
        <a:prstGeom prst="rect">
          <a:avLst/>
        </a:prstGeom>
      </xdr:spPr>
    </xdr:pic>
    <xdr:clientData/>
  </xdr:twoCellAnchor>
  <xdr:twoCellAnchor editAs="oneCell">
    <xdr:from>
      <xdr:col>8</xdr:col>
      <xdr:colOff>152789</xdr:colOff>
      <xdr:row>109</xdr:row>
      <xdr:rowOff>96555</xdr:rowOff>
    </xdr:from>
    <xdr:to>
      <xdr:col>12</xdr:col>
      <xdr:colOff>496957</xdr:colOff>
      <xdr:row>118</xdr:row>
      <xdr:rowOff>165652</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6"/>
        <a:stretch>
          <a:fillRect/>
        </a:stretch>
      </xdr:blipFill>
      <xdr:spPr>
        <a:xfrm>
          <a:off x="7772789" y="18069816"/>
          <a:ext cx="3093994" cy="1783597"/>
        </a:xfrm>
        <a:prstGeom prst="rect">
          <a:avLst/>
        </a:prstGeom>
      </xdr:spPr>
    </xdr:pic>
    <xdr:clientData/>
  </xdr:twoCellAnchor>
  <xdr:twoCellAnchor editAs="oneCell">
    <xdr:from>
      <xdr:col>1</xdr:col>
      <xdr:colOff>44825</xdr:colOff>
      <xdr:row>14</xdr:row>
      <xdr:rowOff>14942</xdr:rowOff>
    </xdr:from>
    <xdr:to>
      <xdr:col>1</xdr:col>
      <xdr:colOff>1745214</xdr:colOff>
      <xdr:row>22</xdr:row>
      <xdr:rowOff>13422</xdr:rowOff>
    </xdr:to>
    <xdr:pic>
      <xdr:nvPicPr>
        <xdr:cNvPr id="24" name="Picture 23">
          <a:hlinkClick xmlns:r="http://schemas.openxmlformats.org/officeDocument/2006/relationships" r:id="rId1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8"/>
        <a:stretch>
          <a:fillRect/>
        </a:stretch>
      </xdr:blipFill>
      <xdr:spPr>
        <a:xfrm>
          <a:off x="82178" y="3339354"/>
          <a:ext cx="1700389" cy="1806362"/>
        </a:xfrm>
        <a:prstGeom prst="rect">
          <a:avLst/>
        </a:prstGeom>
      </xdr:spPr>
    </xdr:pic>
    <xdr:clientData/>
  </xdr:twoCellAnchor>
  <xdr:twoCellAnchor editAs="oneCell">
    <xdr:from>
      <xdr:col>1</xdr:col>
      <xdr:colOff>29882</xdr:colOff>
      <xdr:row>27</xdr:row>
      <xdr:rowOff>29883</xdr:rowOff>
    </xdr:from>
    <xdr:to>
      <xdr:col>1</xdr:col>
      <xdr:colOff>1776367</xdr:colOff>
      <xdr:row>32</xdr:row>
      <xdr:rowOff>19938</xdr:rowOff>
    </xdr:to>
    <xdr:pic>
      <xdr:nvPicPr>
        <xdr:cNvPr id="25" name="Picture 24">
          <a:hlinkClick xmlns:r="http://schemas.openxmlformats.org/officeDocument/2006/relationships" r:id="rId19"/>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0"/>
        <a:stretch>
          <a:fillRect/>
        </a:stretch>
      </xdr:blipFill>
      <xdr:spPr>
        <a:xfrm>
          <a:off x="67235" y="6237942"/>
          <a:ext cx="1746485" cy="961231"/>
        </a:xfrm>
        <a:prstGeom prst="rect">
          <a:avLst/>
        </a:prstGeom>
      </xdr:spPr>
    </xdr:pic>
    <xdr:clientData/>
  </xdr:twoCellAnchor>
  <xdr:twoCellAnchor editAs="oneCell">
    <xdr:from>
      <xdr:col>1</xdr:col>
      <xdr:colOff>37353</xdr:colOff>
      <xdr:row>38</xdr:row>
      <xdr:rowOff>22412</xdr:rowOff>
    </xdr:from>
    <xdr:to>
      <xdr:col>1</xdr:col>
      <xdr:colOff>1842630</xdr:colOff>
      <xdr:row>44</xdr:row>
      <xdr:rowOff>22412</xdr:rowOff>
    </xdr:to>
    <xdr:pic>
      <xdr:nvPicPr>
        <xdr:cNvPr id="26" name="Picture 25">
          <a:hlinkClick xmlns:r="http://schemas.openxmlformats.org/officeDocument/2006/relationships" r:id="rId19"/>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0"/>
        <a:stretch>
          <a:fillRect/>
        </a:stretch>
      </xdr:blipFill>
      <xdr:spPr>
        <a:xfrm>
          <a:off x="74706" y="8367059"/>
          <a:ext cx="1805277" cy="1165412"/>
        </a:xfrm>
        <a:prstGeom prst="rect">
          <a:avLst/>
        </a:prstGeom>
      </xdr:spPr>
    </xdr:pic>
    <xdr:clientData/>
  </xdr:twoCellAnchor>
  <xdr:twoCellAnchor editAs="oneCell">
    <xdr:from>
      <xdr:col>1</xdr:col>
      <xdr:colOff>52295</xdr:colOff>
      <xdr:row>53</xdr:row>
      <xdr:rowOff>37353</xdr:rowOff>
    </xdr:from>
    <xdr:to>
      <xdr:col>1</xdr:col>
      <xdr:colOff>1909383</xdr:colOff>
      <xdr:row>58</xdr:row>
      <xdr:rowOff>82160</xdr:rowOff>
    </xdr:to>
    <xdr:pic>
      <xdr:nvPicPr>
        <xdr:cNvPr id="27" name="Picture 26">
          <a:hlinkClick xmlns:r="http://schemas.openxmlformats.org/officeDocument/2006/relationships" r:id="rId21"/>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2"/>
        <a:stretch>
          <a:fillRect/>
        </a:stretch>
      </xdr:blipFill>
      <xdr:spPr>
        <a:xfrm>
          <a:off x="89648" y="11280588"/>
          <a:ext cx="1857088" cy="1060807"/>
        </a:xfrm>
        <a:prstGeom prst="rect">
          <a:avLst/>
        </a:prstGeom>
      </xdr:spPr>
    </xdr:pic>
    <xdr:clientData/>
  </xdr:twoCellAnchor>
  <xdr:twoCellAnchor editAs="oneCell">
    <xdr:from>
      <xdr:col>1</xdr:col>
      <xdr:colOff>37353</xdr:colOff>
      <xdr:row>70</xdr:row>
      <xdr:rowOff>14941</xdr:rowOff>
    </xdr:from>
    <xdr:to>
      <xdr:col>1</xdr:col>
      <xdr:colOff>1996933</xdr:colOff>
      <xdr:row>78</xdr:row>
      <xdr:rowOff>1</xdr:rowOff>
    </xdr:to>
    <xdr:pic>
      <xdr:nvPicPr>
        <xdr:cNvPr id="28" name="Picture 27">
          <a:hlinkClick xmlns:r="http://schemas.openxmlformats.org/officeDocument/2006/relationships" r:id="rId23"/>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4"/>
        <a:stretch>
          <a:fillRect/>
        </a:stretch>
      </xdr:blipFill>
      <xdr:spPr>
        <a:xfrm>
          <a:off x="74706" y="14642353"/>
          <a:ext cx="1959580" cy="1284942"/>
        </a:xfrm>
        <a:prstGeom prst="rect">
          <a:avLst/>
        </a:prstGeom>
      </xdr:spPr>
    </xdr:pic>
    <xdr:clientData/>
  </xdr:twoCellAnchor>
  <xdr:twoCellAnchor editAs="oneCell">
    <xdr:from>
      <xdr:col>1</xdr:col>
      <xdr:colOff>59764</xdr:colOff>
      <xdr:row>96</xdr:row>
      <xdr:rowOff>22412</xdr:rowOff>
    </xdr:from>
    <xdr:to>
      <xdr:col>2</xdr:col>
      <xdr:colOff>1625</xdr:colOff>
      <xdr:row>101</xdr:row>
      <xdr:rowOff>112059</xdr:rowOff>
    </xdr:to>
    <xdr:pic>
      <xdr:nvPicPr>
        <xdr:cNvPr id="29" name="Picture 28">
          <a:hlinkClick xmlns:r="http://schemas.openxmlformats.org/officeDocument/2006/relationships" r:id="rId25"/>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6"/>
        <a:stretch>
          <a:fillRect/>
        </a:stretch>
      </xdr:blipFill>
      <xdr:spPr>
        <a:xfrm>
          <a:off x="97117" y="19498236"/>
          <a:ext cx="2008786" cy="1060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115</xdr:row>
      <xdr:rowOff>85725</xdr:rowOff>
    </xdr:from>
    <xdr:to>
      <xdr:col>16</xdr:col>
      <xdr:colOff>247650</xdr:colOff>
      <xdr:row>141</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164</xdr:row>
      <xdr:rowOff>133350</xdr:rowOff>
    </xdr:from>
    <xdr:to>
      <xdr:col>9</xdr:col>
      <xdr:colOff>276225</xdr:colOff>
      <xdr:row>175</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115</xdr:row>
      <xdr:rowOff>85725</xdr:rowOff>
    </xdr:from>
    <xdr:to>
      <xdr:col>23</xdr:col>
      <xdr:colOff>95250</xdr:colOff>
      <xdr:row>141</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ds/snvs452d/snvs452d.pdf" TargetMode="External"/><Relationship Id="rId1" Type="http://schemas.openxmlformats.org/officeDocument/2006/relationships/hyperlink" Target="http://www.ti.com/lit/gpn/lm5066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ti.com/node/113368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www.ti.com/product/lm5066i" TargetMode="Externa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printerSettings" Target="../printerSettings/printerSettings1.bin"/><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vmlDrawing" Target="../drawings/vmlDrawing1.v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topLeftCell="A9" zoomScale="85" zoomScaleNormal="85" workbookViewId="0"/>
  </sheetViews>
  <sheetFormatPr defaultRowHeight="13.15"/>
  <cols>
    <col min="16" max="16" width="16.5703125" customWidth="1"/>
  </cols>
  <sheetData>
    <row r="1" spans="1:16" ht="13.5" thickTop="1">
      <c r="A1" s="222"/>
      <c r="B1" s="223"/>
      <c r="C1" s="223"/>
      <c r="D1" s="223"/>
      <c r="E1" s="223"/>
      <c r="F1" s="223"/>
      <c r="G1" s="223"/>
      <c r="H1" s="223"/>
      <c r="I1" s="223"/>
      <c r="J1" s="223"/>
      <c r="K1" s="223"/>
      <c r="L1" s="223"/>
      <c r="M1" s="223"/>
      <c r="N1" s="223"/>
      <c r="O1" s="223"/>
      <c r="P1" s="224"/>
    </row>
    <row r="2" spans="1:16" ht="12.75">
      <c r="A2" s="225"/>
      <c r="B2" s="226"/>
      <c r="C2" s="226"/>
      <c r="D2" s="226"/>
      <c r="E2" s="226"/>
      <c r="F2" s="226"/>
      <c r="G2" s="226"/>
      <c r="H2" s="226"/>
      <c r="I2" s="226"/>
      <c r="J2" s="226"/>
      <c r="K2" s="226"/>
      <c r="L2" s="226"/>
      <c r="M2" s="226"/>
      <c r="N2" s="226"/>
      <c r="O2" s="226"/>
      <c r="P2" s="227"/>
    </row>
    <row r="3" spans="1:16" ht="30">
      <c r="A3" s="225"/>
      <c r="B3" s="226"/>
      <c r="C3" s="226"/>
      <c r="D3" s="228"/>
      <c r="E3" s="226"/>
      <c r="F3" s="226"/>
      <c r="G3" s="226"/>
      <c r="H3" s="226"/>
      <c r="I3" s="226"/>
      <c r="J3" s="226"/>
      <c r="K3" s="226"/>
      <c r="L3" s="229"/>
      <c r="M3" s="226"/>
      <c r="N3" s="226"/>
      <c r="O3" s="226"/>
      <c r="P3" s="227"/>
    </row>
    <row r="4" spans="1:16" ht="23.25">
      <c r="A4" s="225"/>
      <c r="B4" s="226"/>
      <c r="C4" s="226"/>
      <c r="D4" s="230"/>
      <c r="E4" s="226"/>
      <c r="F4" s="226"/>
      <c r="G4" s="226"/>
      <c r="H4" s="226"/>
      <c r="I4" s="226"/>
      <c r="J4" s="226"/>
      <c r="K4" s="226"/>
      <c r="L4" s="226"/>
      <c r="M4" s="226"/>
      <c r="N4" s="226"/>
      <c r="O4" s="226"/>
      <c r="P4" s="227"/>
    </row>
    <row r="5" spans="1:16" ht="12.75">
      <c r="A5" s="225"/>
      <c r="B5" s="226"/>
      <c r="C5" s="226"/>
      <c r="D5" s="226"/>
      <c r="E5" s="226"/>
      <c r="F5" s="226"/>
      <c r="G5" s="226"/>
      <c r="H5" s="226"/>
      <c r="I5" s="226"/>
      <c r="J5" s="226"/>
      <c r="K5" s="226"/>
      <c r="L5" s="226"/>
      <c r="M5" s="226"/>
      <c r="N5" s="226"/>
      <c r="O5" s="226"/>
      <c r="P5" s="227"/>
    </row>
    <row r="6" spans="1:16" ht="12.75">
      <c r="A6" s="225"/>
      <c r="B6" s="226"/>
      <c r="C6" s="226"/>
      <c r="D6" s="226"/>
      <c r="E6" s="226"/>
      <c r="F6" s="226"/>
      <c r="G6" s="226"/>
      <c r="H6" s="226"/>
      <c r="I6" s="226"/>
      <c r="J6" s="226"/>
      <c r="K6" s="226"/>
      <c r="L6" s="226"/>
      <c r="M6" s="226"/>
      <c r="N6" s="226"/>
      <c r="O6" s="226"/>
      <c r="P6" s="227"/>
    </row>
    <row r="7" spans="1:16" ht="15.75">
      <c r="A7" s="225"/>
      <c r="B7" s="226"/>
      <c r="C7" s="226"/>
      <c r="D7" s="226"/>
      <c r="E7" s="226"/>
      <c r="F7" s="226"/>
      <c r="G7" s="226"/>
      <c r="H7" s="226"/>
      <c r="I7" s="226"/>
      <c r="J7" s="226"/>
      <c r="K7" s="226"/>
      <c r="L7" s="226"/>
      <c r="M7" s="229" t="s">
        <v>0</v>
      </c>
      <c r="N7" s="226"/>
      <c r="O7" s="226"/>
      <c r="P7" s="227"/>
    </row>
    <row r="8" spans="1:16" ht="30">
      <c r="A8" s="225"/>
      <c r="B8" s="228" t="s">
        <v>1</v>
      </c>
      <c r="C8" s="226"/>
      <c r="D8" s="226"/>
      <c r="E8" s="226"/>
      <c r="F8" s="226"/>
      <c r="G8" s="226"/>
      <c r="H8" s="226"/>
      <c r="I8" s="226"/>
      <c r="J8" s="226"/>
      <c r="K8" s="226"/>
      <c r="L8" s="226"/>
      <c r="M8" s="226"/>
      <c r="N8" s="226"/>
      <c r="O8" s="226"/>
      <c r="P8" s="227"/>
    </row>
    <row r="9" spans="1:16" ht="12.75">
      <c r="A9" s="225"/>
      <c r="B9" s="226"/>
      <c r="C9" s="226"/>
      <c r="D9" s="226"/>
      <c r="E9" s="226"/>
      <c r="F9" s="226"/>
      <c r="G9" s="226"/>
      <c r="H9" s="226"/>
      <c r="I9" s="226"/>
      <c r="J9" s="226"/>
      <c r="K9" s="226"/>
      <c r="L9" s="226"/>
      <c r="M9" s="226"/>
      <c r="N9" s="226"/>
      <c r="O9" s="226"/>
      <c r="P9" s="227"/>
    </row>
    <row r="10" spans="1:16" ht="20.25">
      <c r="A10" s="225"/>
      <c r="B10" s="231" t="s">
        <v>2</v>
      </c>
      <c r="C10" s="232"/>
      <c r="D10" s="232"/>
      <c r="E10" s="232"/>
      <c r="F10" s="226"/>
      <c r="G10" s="226"/>
      <c r="H10" s="226"/>
      <c r="I10" s="226"/>
      <c r="J10" s="226"/>
      <c r="K10" s="226"/>
      <c r="L10" s="226"/>
      <c r="M10" s="226"/>
      <c r="N10" s="226"/>
      <c r="O10" s="226"/>
      <c r="P10" s="227"/>
    </row>
    <row r="11" spans="1:16" ht="14.25">
      <c r="A11" s="225"/>
      <c r="B11" s="233" t="s">
        <v>3</v>
      </c>
      <c r="C11" s="234"/>
      <c r="D11" s="234"/>
      <c r="E11" s="234"/>
      <c r="F11" s="226"/>
      <c r="G11" s="226"/>
      <c r="H11" s="226"/>
      <c r="I11" s="226"/>
      <c r="J11" s="226"/>
      <c r="K11" s="226"/>
      <c r="L11" s="226"/>
      <c r="M11" s="226"/>
      <c r="N11" s="226"/>
      <c r="O11" s="226"/>
      <c r="P11" s="227"/>
    </row>
    <row r="12" spans="1:16" ht="14.25">
      <c r="A12" s="225"/>
      <c r="B12" s="233" t="s">
        <v>4</v>
      </c>
      <c r="C12" s="234"/>
      <c r="D12" s="234"/>
      <c r="E12" s="234"/>
      <c r="F12" s="226"/>
      <c r="G12" s="226"/>
      <c r="H12" s="226"/>
      <c r="I12" s="226"/>
      <c r="J12" s="226"/>
      <c r="K12" s="226"/>
      <c r="L12" s="226"/>
      <c r="M12" s="226"/>
      <c r="N12" s="226"/>
      <c r="O12" s="226"/>
      <c r="P12" s="227"/>
    </row>
    <row r="13" spans="1:16" ht="12.75">
      <c r="A13" s="225"/>
      <c r="B13" s="232"/>
      <c r="C13" s="232"/>
      <c r="D13" s="232"/>
      <c r="E13" s="232"/>
      <c r="F13" s="226"/>
      <c r="G13" s="226"/>
      <c r="H13" s="226"/>
      <c r="I13" s="226"/>
      <c r="J13" s="226"/>
      <c r="K13" s="226"/>
      <c r="L13" s="226"/>
      <c r="M13" s="226"/>
      <c r="N13" s="226"/>
      <c r="O13" s="226"/>
      <c r="P13" s="227"/>
    </row>
    <row r="14" spans="1:16" s="241" customFormat="1" ht="12.75">
      <c r="A14" s="225"/>
      <c r="B14" s="256" t="s">
        <v>5</v>
      </c>
      <c r="C14" s="232"/>
      <c r="D14" s="232"/>
      <c r="E14" s="232"/>
      <c r="F14" s="226"/>
      <c r="G14" s="226"/>
      <c r="H14" s="226"/>
      <c r="I14" s="226"/>
      <c r="J14" s="226"/>
      <c r="K14" s="226"/>
      <c r="L14" s="226"/>
      <c r="M14" s="226"/>
      <c r="N14" s="226"/>
      <c r="O14" s="226"/>
      <c r="P14" s="227"/>
    </row>
    <row r="15" spans="1:16" ht="12.75">
      <c r="A15" s="225"/>
      <c r="B15" s="307" t="s">
        <v>6</v>
      </c>
      <c r="C15" s="308"/>
      <c r="D15" s="308"/>
      <c r="E15" s="308"/>
      <c r="F15" s="308"/>
      <c r="G15" s="308"/>
      <c r="H15" s="308"/>
      <c r="I15" s="308"/>
      <c r="J15" s="226"/>
      <c r="K15" s="226"/>
      <c r="L15" s="226"/>
      <c r="M15" s="226"/>
      <c r="N15" s="226"/>
      <c r="O15" s="226"/>
      <c r="P15" s="227"/>
    </row>
    <row r="16" spans="1:16" ht="12.75">
      <c r="A16" s="225"/>
      <c r="B16" s="256"/>
      <c r="C16" s="232"/>
      <c r="D16" s="232"/>
      <c r="E16" s="232"/>
      <c r="F16" s="226"/>
      <c r="G16" s="226"/>
      <c r="H16" s="226"/>
      <c r="I16" s="226"/>
      <c r="J16" s="226"/>
      <c r="K16" s="226"/>
      <c r="L16" s="226"/>
      <c r="M16" s="226"/>
      <c r="N16" s="226"/>
      <c r="O16" s="226"/>
      <c r="P16" s="227"/>
    </row>
    <row r="17" spans="1:16" ht="12.75">
      <c r="A17" s="225"/>
      <c r="B17" s="235" t="s">
        <v>7</v>
      </c>
      <c r="C17" s="232"/>
      <c r="D17" s="232"/>
      <c r="E17" s="232"/>
      <c r="F17" s="226"/>
      <c r="G17" s="226"/>
      <c r="H17" s="226"/>
      <c r="I17" s="226"/>
      <c r="J17" s="226"/>
      <c r="K17" s="226"/>
      <c r="L17" s="226"/>
      <c r="M17" s="226"/>
      <c r="N17" s="226"/>
      <c r="O17" s="226"/>
      <c r="P17" s="227"/>
    </row>
    <row r="18" spans="1:16" ht="12.75">
      <c r="A18" s="225"/>
      <c r="B18" s="236" t="s">
        <v>8</v>
      </c>
      <c r="C18" s="232"/>
      <c r="D18" s="232"/>
      <c r="E18" s="232"/>
      <c r="F18" s="226"/>
      <c r="G18" s="226"/>
      <c r="H18" s="226"/>
      <c r="I18" s="226"/>
      <c r="J18" s="226"/>
      <c r="K18" s="226"/>
      <c r="L18" s="226"/>
      <c r="M18" s="226"/>
      <c r="N18" s="226"/>
      <c r="O18" s="226"/>
      <c r="P18" s="227"/>
    </row>
    <row r="19" spans="1:16" ht="12.75">
      <c r="A19" s="225"/>
      <c r="B19" s="236" t="s">
        <v>9</v>
      </c>
      <c r="C19" s="232"/>
      <c r="D19" s="232"/>
      <c r="E19" s="232"/>
      <c r="F19" s="226"/>
      <c r="G19" s="226"/>
      <c r="H19" s="226"/>
      <c r="I19" s="226"/>
      <c r="J19" s="226"/>
      <c r="K19" s="226"/>
      <c r="L19" s="226"/>
      <c r="M19" s="226"/>
      <c r="N19" s="226"/>
      <c r="O19" s="226"/>
      <c r="P19" s="227"/>
    </row>
    <row r="20" spans="1:16" ht="12.75">
      <c r="A20" s="225"/>
      <c r="B20" s="236" t="s">
        <v>10</v>
      </c>
      <c r="C20" s="232"/>
      <c r="D20" s="232"/>
      <c r="E20" s="232"/>
      <c r="F20" s="226"/>
      <c r="G20" s="226"/>
      <c r="H20" s="226"/>
      <c r="I20" s="226"/>
      <c r="J20" s="226"/>
      <c r="K20" s="226"/>
      <c r="L20" s="226"/>
      <c r="M20" s="226"/>
      <c r="N20" s="226"/>
      <c r="O20" s="226"/>
      <c r="P20" s="227"/>
    </row>
    <row r="21" spans="1:16" ht="12.75">
      <c r="A21" s="225"/>
      <c r="B21" s="236" t="s">
        <v>11</v>
      </c>
      <c r="C21" s="232"/>
      <c r="D21" s="232"/>
      <c r="E21" s="232"/>
      <c r="F21" s="226"/>
      <c r="G21" s="226"/>
      <c r="H21" s="226"/>
      <c r="I21" s="226"/>
      <c r="J21" s="226"/>
      <c r="K21" s="226"/>
      <c r="L21" s="226"/>
      <c r="M21" s="226"/>
      <c r="N21" s="226"/>
      <c r="O21" s="226"/>
      <c r="P21" s="227"/>
    </row>
    <row r="22" spans="1:16" ht="12.75">
      <c r="A22" s="225"/>
      <c r="B22" s="236" t="s">
        <v>12</v>
      </c>
      <c r="C22" s="232"/>
      <c r="D22" s="232"/>
      <c r="E22" s="232"/>
      <c r="F22" s="226"/>
      <c r="G22" s="226"/>
      <c r="H22" s="226"/>
      <c r="I22" s="226"/>
      <c r="J22" s="226"/>
      <c r="K22" s="226"/>
      <c r="L22" s="226"/>
      <c r="M22" s="226"/>
      <c r="N22" s="226"/>
      <c r="O22" s="226"/>
      <c r="P22" s="227"/>
    </row>
    <row r="23" spans="1:16" ht="12.75">
      <c r="A23" s="225"/>
      <c r="B23" s="236" t="s">
        <v>13</v>
      </c>
      <c r="C23" s="232"/>
      <c r="D23" s="232"/>
      <c r="E23" s="232"/>
      <c r="F23" s="226"/>
      <c r="G23" s="226"/>
      <c r="H23" s="226"/>
      <c r="I23" s="226"/>
      <c r="J23" s="226"/>
      <c r="K23" s="226"/>
      <c r="L23" s="226"/>
      <c r="M23" s="226"/>
      <c r="N23" s="226"/>
      <c r="O23" s="226"/>
      <c r="P23" s="227"/>
    </row>
    <row r="24" spans="1:16" ht="12.75">
      <c r="A24" s="225"/>
      <c r="B24" s="236" t="s">
        <v>14</v>
      </c>
      <c r="C24" s="232"/>
      <c r="D24" s="232"/>
      <c r="E24" s="232"/>
      <c r="F24" s="226"/>
      <c r="G24" s="226"/>
      <c r="H24" s="226"/>
      <c r="I24" s="226"/>
      <c r="J24" s="226"/>
      <c r="K24" s="226"/>
      <c r="L24" s="226"/>
      <c r="M24" s="226"/>
      <c r="N24" s="226"/>
      <c r="O24" s="226"/>
      <c r="P24" s="227"/>
    </row>
    <row r="25" spans="1:16" ht="12.75">
      <c r="A25" s="225"/>
      <c r="B25" s="236"/>
      <c r="C25" s="232"/>
      <c r="D25" s="232"/>
      <c r="E25" s="232"/>
      <c r="F25" s="226"/>
      <c r="G25" s="226"/>
      <c r="H25" s="226"/>
      <c r="I25" s="226"/>
      <c r="J25" s="226"/>
      <c r="K25" s="226"/>
      <c r="L25" s="226"/>
      <c r="M25" s="226"/>
      <c r="N25" s="226"/>
      <c r="O25" s="226"/>
      <c r="P25" s="227"/>
    </row>
    <row r="26" spans="1:16" ht="20.25">
      <c r="A26" s="225"/>
      <c r="B26" s="231" t="s">
        <v>15</v>
      </c>
      <c r="C26" s="226"/>
      <c r="D26" s="226"/>
      <c r="E26" s="226"/>
      <c r="F26" s="226"/>
      <c r="G26" s="226"/>
      <c r="H26" s="226"/>
      <c r="I26" s="226"/>
      <c r="J26" s="226"/>
      <c r="K26" s="226"/>
      <c r="L26" s="226"/>
      <c r="M26" s="226"/>
      <c r="N26" s="226"/>
      <c r="O26" s="226"/>
      <c r="P26" s="227"/>
    </row>
    <row r="27" spans="1:16" ht="12.75">
      <c r="A27" s="225"/>
      <c r="B27" s="237" t="s">
        <v>16</v>
      </c>
      <c r="C27" s="226"/>
      <c r="D27" s="226"/>
      <c r="E27" s="226"/>
      <c r="F27" s="226"/>
      <c r="G27" s="226"/>
      <c r="H27" s="226"/>
      <c r="I27" s="226"/>
      <c r="J27" s="226"/>
      <c r="K27" s="226"/>
      <c r="L27" s="226"/>
      <c r="M27" s="226"/>
      <c r="N27" s="226"/>
      <c r="O27" s="226"/>
      <c r="P27" s="227"/>
    </row>
    <row r="28" spans="1:16" ht="12.75">
      <c r="A28" s="225"/>
      <c r="B28" s="226" t="s">
        <v>17</v>
      </c>
      <c r="C28" s="226"/>
      <c r="D28" s="226"/>
      <c r="E28" s="226"/>
      <c r="F28" s="226"/>
      <c r="G28" s="226"/>
      <c r="H28" s="226"/>
      <c r="I28" s="226"/>
      <c r="J28" s="226"/>
      <c r="K28" s="226"/>
      <c r="L28" s="226"/>
      <c r="M28" s="226"/>
      <c r="N28" s="226"/>
      <c r="O28" s="226"/>
      <c r="P28" s="227"/>
    </row>
    <row r="29" spans="1:16" ht="12.75">
      <c r="A29" s="225"/>
      <c r="B29" s="226"/>
      <c r="C29" s="226"/>
      <c r="D29" s="226"/>
      <c r="E29" s="226"/>
      <c r="F29" s="226"/>
      <c r="G29" s="226"/>
      <c r="H29" s="226"/>
      <c r="I29" s="226"/>
      <c r="J29" s="226"/>
      <c r="K29" s="226"/>
      <c r="L29" s="226"/>
      <c r="M29" s="226"/>
      <c r="N29" s="226"/>
      <c r="O29" s="226"/>
      <c r="P29" s="227"/>
    </row>
    <row r="30" spans="1:16" ht="12.75">
      <c r="A30" s="225"/>
      <c r="B30" s="237" t="s">
        <v>18</v>
      </c>
      <c r="C30" s="226"/>
      <c r="D30" s="226"/>
      <c r="E30" s="226"/>
      <c r="F30" s="226"/>
      <c r="G30" s="226"/>
      <c r="H30" s="226"/>
      <c r="I30" s="226"/>
      <c r="J30" s="226"/>
      <c r="K30" s="226"/>
      <c r="L30" s="226"/>
      <c r="M30" s="226"/>
      <c r="N30" s="226"/>
      <c r="O30" s="226"/>
      <c r="P30" s="227"/>
    </row>
    <row r="31" spans="1:16" ht="12.75">
      <c r="A31" s="225"/>
      <c r="B31" s="226"/>
      <c r="C31" s="226"/>
      <c r="D31" s="226"/>
      <c r="E31" s="226"/>
      <c r="F31" s="226"/>
      <c r="G31" s="226"/>
      <c r="H31" s="226"/>
      <c r="I31" s="226"/>
      <c r="J31" s="226"/>
      <c r="K31" s="226"/>
      <c r="L31" s="226"/>
      <c r="M31" s="226"/>
      <c r="N31" s="226"/>
      <c r="O31" s="226"/>
      <c r="P31" s="227"/>
    </row>
    <row r="32" spans="1:16" ht="12.75">
      <c r="A32" s="225"/>
      <c r="B32" s="226" t="s">
        <v>19</v>
      </c>
      <c r="C32" s="226"/>
      <c r="D32" s="226"/>
      <c r="E32" s="226"/>
      <c r="F32" s="226"/>
      <c r="G32" s="226"/>
      <c r="H32" s="226"/>
      <c r="I32" s="226"/>
      <c r="J32" s="226"/>
      <c r="K32" s="226"/>
      <c r="L32" s="226"/>
      <c r="M32" s="226"/>
      <c r="N32" s="226"/>
      <c r="O32" s="226"/>
      <c r="P32" s="227"/>
    </row>
    <row r="33" spans="1:16" ht="12.75">
      <c r="A33" s="225"/>
      <c r="B33" s="237"/>
      <c r="C33" s="226"/>
      <c r="D33" s="226"/>
      <c r="E33" s="226"/>
      <c r="F33" s="226"/>
      <c r="G33" s="226"/>
      <c r="H33" s="226"/>
      <c r="I33" s="226"/>
      <c r="J33" s="226"/>
      <c r="K33" s="226"/>
      <c r="L33" s="226"/>
      <c r="M33" s="226"/>
      <c r="N33" s="226"/>
      <c r="O33" s="226"/>
      <c r="P33" s="227"/>
    </row>
    <row r="34" spans="1:16" ht="12.75">
      <c r="A34" s="225"/>
      <c r="B34" s="226"/>
      <c r="C34" s="226"/>
      <c r="D34" s="226"/>
      <c r="E34" s="226"/>
      <c r="F34" s="226"/>
      <c r="G34" s="226"/>
      <c r="H34" s="226"/>
      <c r="I34" s="226"/>
      <c r="J34" s="226"/>
      <c r="K34" s="226"/>
      <c r="L34" s="226"/>
      <c r="M34" s="226"/>
      <c r="N34" s="226"/>
      <c r="O34" s="226"/>
      <c r="P34" s="227"/>
    </row>
    <row r="35" spans="1:16" ht="13.5" thickBot="1">
      <c r="A35" s="225"/>
      <c r="B35" s="226"/>
      <c r="C35" s="226"/>
      <c r="D35" s="226"/>
      <c r="E35" s="226"/>
      <c r="F35" s="226"/>
      <c r="G35" s="226"/>
      <c r="H35" s="226"/>
      <c r="I35" s="226"/>
      <c r="J35" s="226"/>
      <c r="K35" s="226"/>
      <c r="L35" s="226"/>
      <c r="M35" s="226"/>
      <c r="N35" s="226"/>
      <c r="O35" s="226"/>
      <c r="P35" s="227"/>
    </row>
    <row r="36" spans="1:16" ht="13.9" customHeight="1">
      <c r="A36" s="225"/>
      <c r="B36" s="309" t="s">
        <v>20</v>
      </c>
      <c r="C36" s="310"/>
      <c r="D36" s="310"/>
      <c r="E36" s="310"/>
      <c r="F36" s="310"/>
      <c r="G36" s="310"/>
      <c r="H36" s="310"/>
      <c r="I36" s="310"/>
      <c r="J36" s="310"/>
      <c r="K36" s="310"/>
      <c r="L36" s="310"/>
      <c r="M36" s="311"/>
      <c r="N36" s="226"/>
      <c r="O36" s="226"/>
      <c r="P36" s="227"/>
    </row>
    <row r="37" spans="1:16" ht="13.9" customHeight="1">
      <c r="A37" s="225"/>
      <c r="B37" s="312"/>
      <c r="C37" s="313"/>
      <c r="D37" s="313"/>
      <c r="E37" s="313"/>
      <c r="F37" s="313"/>
      <c r="G37" s="313"/>
      <c r="H37" s="313"/>
      <c r="I37" s="313"/>
      <c r="J37" s="313"/>
      <c r="K37" s="313"/>
      <c r="L37" s="313"/>
      <c r="M37" s="314"/>
      <c r="N37" s="226"/>
      <c r="O37" s="226"/>
      <c r="P37" s="227"/>
    </row>
    <row r="38" spans="1:16" ht="13.9" customHeight="1">
      <c r="A38" s="225"/>
      <c r="B38" s="312"/>
      <c r="C38" s="313"/>
      <c r="D38" s="313"/>
      <c r="E38" s="313"/>
      <c r="F38" s="313"/>
      <c r="G38" s="313"/>
      <c r="H38" s="313"/>
      <c r="I38" s="313"/>
      <c r="J38" s="313"/>
      <c r="K38" s="313"/>
      <c r="L38" s="313"/>
      <c r="M38" s="314"/>
      <c r="N38" s="226"/>
      <c r="O38" s="226"/>
      <c r="P38" s="227"/>
    </row>
    <row r="39" spans="1:16" ht="13.9" customHeight="1">
      <c r="A39" s="225"/>
      <c r="B39" s="312"/>
      <c r="C39" s="313"/>
      <c r="D39" s="313"/>
      <c r="E39" s="313"/>
      <c r="F39" s="313"/>
      <c r="G39" s="313"/>
      <c r="H39" s="313"/>
      <c r="I39" s="313"/>
      <c r="J39" s="313"/>
      <c r="K39" s="313"/>
      <c r="L39" s="313"/>
      <c r="M39" s="314"/>
      <c r="N39" s="226"/>
      <c r="O39" s="226"/>
      <c r="P39" s="227"/>
    </row>
    <row r="40" spans="1:16" ht="13.9" customHeight="1">
      <c r="A40" s="225"/>
      <c r="B40" s="312"/>
      <c r="C40" s="313"/>
      <c r="D40" s="313"/>
      <c r="E40" s="313"/>
      <c r="F40" s="313"/>
      <c r="G40" s="313"/>
      <c r="H40" s="313"/>
      <c r="I40" s="313"/>
      <c r="J40" s="313"/>
      <c r="K40" s="313"/>
      <c r="L40" s="313"/>
      <c r="M40" s="314"/>
      <c r="N40" s="226"/>
      <c r="O40" s="226"/>
      <c r="P40" s="227"/>
    </row>
    <row r="41" spans="1:16" ht="13.9" customHeight="1">
      <c r="A41" s="225"/>
      <c r="B41" s="312"/>
      <c r="C41" s="313"/>
      <c r="D41" s="313"/>
      <c r="E41" s="313"/>
      <c r="F41" s="313"/>
      <c r="G41" s="313"/>
      <c r="H41" s="313"/>
      <c r="I41" s="313"/>
      <c r="J41" s="313"/>
      <c r="K41" s="313"/>
      <c r="L41" s="313"/>
      <c r="M41" s="314"/>
      <c r="N41" s="226"/>
      <c r="O41" s="226"/>
      <c r="P41" s="227"/>
    </row>
    <row r="42" spans="1:16" ht="13.9" customHeight="1">
      <c r="A42" s="225"/>
      <c r="B42" s="312"/>
      <c r="C42" s="313"/>
      <c r="D42" s="313"/>
      <c r="E42" s="313"/>
      <c r="F42" s="313"/>
      <c r="G42" s="313"/>
      <c r="H42" s="313"/>
      <c r="I42" s="313"/>
      <c r="J42" s="313"/>
      <c r="K42" s="313"/>
      <c r="L42" s="313"/>
      <c r="M42" s="314"/>
      <c r="N42" s="226"/>
      <c r="O42" s="226"/>
      <c r="P42" s="227"/>
    </row>
    <row r="43" spans="1:16" ht="13.9" customHeight="1">
      <c r="A43" s="225"/>
      <c r="B43" s="312"/>
      <c r="C43" s="313"/>
      <c r="D43" s="313"/>
      <c r="E43" s="313"/>
      <c r="F43" s="313"/>
      <c r="G43" s="313"/>
      <c r="H43" s="313"/>
      <c r="I43" s="313"/>
      <c r="J43" s="313"/>
      <c r="K43" s="313"/>
      <c r="L43" s="313"/>
      <c r="M43" s="314"/>
      <c r="N43" s="226"/>
      <c r="O43" s="226"/>
      <c r="P43" s="227"/>
    </row>
    <row r="44" spans="1:16" ht="13.9" customHeight="1">
      <c r="A44" s="225"/>
      <c r="B44" s="312"/>
      <c r="C44" s="313"/>
      <c r="D44" s="313"/>
      <c r="E44" s="313"/>
      <c r="F44" s="313"/>
      <c r="G44" s="313"/>
      <c r="H44" s="313"/>
      <c r="I44" s="313"/>
      <c r="J44" s="313"/>
      <c r="K44" s="313"/>
      <c r="L44" s="313"/>
      <c r="M44" s="314"/>
      <c r="N44" s="226"/>
      <c r="O44" s="226"/>
      <c r="P44" s="227"/>
    </row>
    <row r="45" spans="1:16" ht="13.9" customHeight="1">
      <c r="A45" s="225"/>
      <c r="B45" s="312"/>
      <c r="C45" s="313"/>
      <c r="D45" s="313"/>
      <c r="E45" s="313"/>
      <c r="F45" s="313"/>
      <c r="G45" s="313"/>
      <c r="H45" s="313"/>
      <c r="I45" s="313"/>
      <c r="J45" s="313"/>
      <c r="K45" s="313"/>
      <c r="L45" s="313"/>
      <c r="M45" s="314"/>
      <c r="N45" s="226"/>
      <c r="O45" s="226"/>
      <c r="P45" s="227"/>
    </row>
    <row r="46" spans="1:16" ht="13.9" customHeight="1">
      <c r="A46" s="225"/>
      <c r="B46" s="312"/>
      <c r="C46" s="313"/>
      <c r="D46" s="313"/>
      <c r="E46" s="313"/>
      <c r="F46" s="313"/>
      <c r="G46" s="313"/>
      <c r="H46" s="313"/>
      <c r="I46" s="313"/>
      <c r="J46" s="313"/>
      <c r="K46" s="313"/>
      <c r="L46" s="313"/>
      <c r="M46" s="314"/>
      <c r="N46" s="226"/>
      <c r="O46" s="226"/>
      <c r="P46" s="227"/>
    </row>
    <row r="47" spans="1:16" ht="13.9" customHeight="1">
      <c r="A47" s="225"/>
      <c r="B47" s="312"/>
      <c r="C47" s="313"/>
      <c r="D47" s="313"/>
      <c r="E47" s="313"/>
      <c r="F47" s="313"/>
      <c r="G47" s="313"/>
      <c r="H47" s="313"/>
      <c r="I47" s="313"/>
      <c r="J47" s="313"/>
      <c r="K47" s="313"/>
      <c r="L47" s="313"/>
      <c r="M47" s="314"/>
      <c r="N47" s="226"/>
      <c r="O47" s="226"/>
      <c r="P47" s="227"/>
    </row>
    <row r="48" spans="1:16" ht="13.9" customHeight="1">
      <c r="A48" s="225"/>
      <c r="B48" s="312"/>
      <c r="C48" s="313"/>
      <c r="D48" s="313"/>
      <c r="E48" s="313"/>
      <c r="F48" s="313"/>
      <c r="G48" s="313"/>
      <c r="H48" s="313"/>
      <c r="I48" s="313"/>
      <c r="J48" s="313"/>
      <c r="K48" s="313"/>
      <c r="L48" s="313"/>
      <c r="M48" s="314"/>
      <c r="N48" s="226"/>
      <c r="O48" s="226"/>
      <c r="P48" s="227"/>
    </row>
    <row r="49" spans="1:16" ht="13.9" customHeight="1">
      <c r="A49" s="225"/>
      <c r="B49" s="312"/>
      <c r="C49" s="313"/>
      <c r="D49" s="313"/>
      <c r="E49" s="313"/>
      <c r="F49" s="313"/>
      <c r="G49" s="313"/>
      <c r="H49" s="313"/>
      <c r="I49" s="313"/>
      <c r="J49" s="313"/>
      <c r="K49" s="313"/>
      <c r="L49" s="313"/>
      <c r="M49" s="314"/>
      <c r="N49" s="226"/>
      <c r="O49" s="226"/>
      <c r="P49" s="227"/>
    </row>
    <row r="50" spans="1:16" ht="13.9" customHeight="1">
      <c r="A50" s="225"/>
      <c r="B50" s="312"/>
      <c r="C50" s="313"/>
      <c r="D50" s="313"/>
      <c r="E50" s="313"/>
      <c r="F50" s="313"/>
      <c r="G50" s="313"/>
      <c r="H50" s="313"/>
      <c r="I50" s="313"/>
      <c r="J50" s="313"/>
      <c r="K50" s="313"/>
      <c r="L50" s="313"/>
      <c r="M50" s="314"/>
      <c r="N50" s="226"/>
      <c r="O50" s="226"/>
      <c r="P50" s="227"/>
    </row>
    <row r="51" spans="1:16" ht="13.9" customHeight="1">
      <c r="A51" s="225"/>
      <c r="B51" s="312"/>
      <c r="C51" s="313"/>
      <c r="D51" s="313"/>
      <c r="E51" s="313"/>
      <c r="F51" s="313"/>
      <c r="G51" s="313"/>
      <c r="H51" s="313"/>
      <c r="I51" s="313"/>
      <c r="J51" s="313"/>
      <c r="K51" s="313"/>
      <c r="L51" s="313"/>
      <c r="M51" s="314"/>
      <c r="N51" s="226"/>
      <c r="O51" s="226"/>
      <c r="P51" s="227"/>
    </row>
    <row r="52" spans="1:16" ht="13.9" customHeight="1">
      <c r="A52" s="225"/>
      <c r="B52" s="312"/>
      <c r="C52" s="313"/>
      <c r="D52" s="313"/>
      <c r="E52" s="313"/>
      <c r="F52" s="313"/>
      <c r="G52" s="313"/>
      <c r="H52" s="313"/>
      <c r="I52" s="313"/>
      <c r="J52" s="313"/>
      <c r="K52" s="313"/>
      <c r="L52" s="313"/>
      <c r="M52" s="314"/>
      <c r="N52" s="226"/>
      <c r="O52" s="226"/>
      <c r="P52" s="227"/>
    </row>
    <row r="53" spans="1:16" ht="13.9" customHeight="1">
      <c r="A53" s="225"/>
      <c r="B53" s="312"/>
      <c r="C53" s="313"/>
      <c r="D53" s="313"/>
      <c r="E53" s="313"/>
      <c r="F53" s="313"/>
      <c r="G53" s="313"/>
      <c r="H53" s="313"/>
      <c r="I53" s="313"/>
      <c r="J53" s="313"/>
      <c r="K53" s="313"/>
      <c r="L53" s="313"/>
      <c r="M53" s="314"/>
      <c r="N53" s="226"/>
      <c r="O53" s="226"/>
      <c r="P53" s="227"/>
    </row>
    <row r="54" spans="1:16" ht="13.9" customHeight="1">
      <c r="A54" s="225"/>
      <c r="B54" s="312"/>
      <c r="C54" s="313"/>
      <c r="D54" s="313"/>
      <c r="E54" s="313"/>
      <c r="F54" s="313"/>
      <c r="G54" s="313"/>
      <c r="H54" s="313"/>
      <c r="I54" s="313"/>
      <c r="J54" s="313"/>
      <c r="K54" s="313"/>
      <c r="L54" s="313"/>
      <c r="M54" s="314"/>
      <c r="N54" s="226"/>
      <c r="O54" s="226"/>
      <c r="P54" s="227"/>
    </row>
    <row r="55" spans="1:16" ht="13.9" customHeight="1">
      <c r="A55" s="225"/>
      <c r="B55" s="312"/>
      <c r="C55" s="313"/>
      <c r="D55" s="313"/>
      <c r="E55" s="313"/>
      <c r="F55" s="313"/>
      <c r="G55" s="313"/>
      <c r="H55" s="313"/>
      <c r="I55" s="313"/>
      <c r="J55" s="313"/>
      <c r="K55" s="313"/>
      <c r="L55" s="313"/>
      <c r="M55" s="314"/>
      <c r="N55" s="226"/>
      <c r="O55" s="226"/>
      <c r="P55" s="227"/>
    </row>
    <row r="56" spans="1:16" ht="13.9" customHeight="1">
      <c r="A56" s="225"/>
      <c r="B56" s="312"/>
      <c r="C56" s="313"/>
      <c r="D56" s="313"/>
      <c r="E56" s="313"/>
      <c r="F56" s="313"/>
      <c r="G56" s="313"/>
      <c r="H56" s="313"/>
      <c r="I56" s="313"/>
      <c r="J56" s="313"/>
      <c r="K56" s="313"/>
      <c r="L56" s="313"/>
      <c r="M56" s="314"/>
      <c r="N56" s="226"/>
      <c r="O56" s="226"/>
      <c r="P56" s="227"/>
    </row>
    <row r="57" spans="1:16" ht="13.9" customHeight="1">
      <c r="A57" s="225"/>
      <c r="B57" s="312"/>
      <c r="C57" s="313"/>
      <c r="D57" s="313"/>
      <c r="E57" s="313"/>
      <c r="F57" s="313"/>
      <c r="G57" s="313"/>
      <c r="H57" s="313"/>
      <c r="I57" s="313"/>
      <c r="J57" s="313"/>
      <c r="K57" s="313"/>
      <c r="L57" s="313"/>
      <c r="M57" s="314"/>
      <c r="N57" s="226"/>
      <c r="O57" s="226"/>
      <c r="P57" s="227"/>
    </row>
    <row r="58" spans="1:16" ht="13.9" customHeight="1">
      <c r="A58" s="225"/>
      <c r="B58" s="312"/>
      <c r="C58" s="313"/>
      <c r="D58" s="313"/>
      <c r="E58" s="313"/>
      <c r="F58" s="313"/>
      <c r="G58" s="313"/>
      <c r="H58" s="313"/>
      <c r="I58" s="313"/>
      <c r="J58" s="313"/>
      <c r="K58" s="313"/>
      <c r="L58" s="313"/>
      <c r="M58" s="314"/>
      <c r="N58" s="226"/>
      <c r="O58" s="226"/>
      <c r="P58" s="227"/>
    </row>
    <row r="59" spans="1:16" ht="13.9" customHeight="1">
      <c r="A59" s="225"/>
      <c r="B59" s="312"/>
      <c r="C59" s="313"/>
      <c r="D59" s="313"/>
      <c r="E59" s="313"/>
      <c r="F59" s="313"/>
      <c r="G59" s="313"/>
      <c r="H59" s="313"/>
      <c r="I59" s="313"/>
      <c r="J59" s="313"/>
      <c r="K59" s="313"/>
      <c r="L59" s="313"/>
      <c r="M59" s="314"/>
      <c r="N59" s="226"/>
      <c r="O59" s="226"/>
      <c r="P59" s="227"/>
    </row>
    <row r="60" spans="1:16" ht="13.9" customHeight="1">
      <c r="A60" s="225"/>
      <c r="B60" s="312"/>
      <c r="C60" s="313"/>
      <c r="D60" s="313"/>
      <c r="E60" s="313"/>
      <c r="F60" s="313"/>
      <c r="G60" s="313"/>
      <c r="H60" s="313"/>
      <c r="I60" s="313"/>
      <c r="J60" s="313"/>
      <c r="K60" s="313"/>
      <c r="L60" s="313"/>
      <c r="M60" s="314"/>
      <c r="N60" s="226"/>
      <c r="O60" s="226"/>
      <c r="P60" s="227"/>
    </row>
    <row r="61" spans="1:16" ht="13.9" customHeight="1">
      <c r="A61" s="225"/>
      <c r="B61" s="312"/>
      <c r="C61" s="313"/>
      <c r="D61" s="313"/>
      <c r="E61" s="313"/>
      <c r="F61" s="313"/>
      <c r="G61" s="313"/>
      <c r="H61" s="313"/>
      <c r="I61" s="313"/>
      <c r="J61" s="313"/>
      <c r="K61" s="313"/>
      <c r="L61" s="313"/>
      <c r="M61" s="314"/>
      <c r="N61" s="226"/>
      <c r="O61" s="226"/>
      <c r="P61" s="227"/>
    </row>
    <row r="62" spans="1:16" ht="13.15" customHeight="1">
      <c r="A62" s="225"/>
      <c r="B62" s="312"/>
      <c r="C62" s="313"/>
      <c r="D62" s="313"/>
      <c r="E62" s="313"/>
      <c r="F62" s="313"/>
      <c r="G62" s="313"/>
      <c r="H62" s="313"/>
      <c r="I62" s="313"/>
      <c r="J62" s="313"/>
      <c r="K62" s="313"/>
      <c r="L62" s="313"/>
      <c r="M62" s="314"/>
      <c r="N62" s="226"/>
      <c r="O62" s="226"/>
      <c r="P62" s="227"/>
    </row>
    <row r="63" spans="1:16" ht="13.15" customHeight="1">
      <c r="A63" s="225"/>
      <c r="B63" s="312"/>
      <c r="C63" s="313"/>
      <c r="D63" s="313"/>
      <c r="E63" s="313"/>
      <c r="F63" s="313"/>
      <c r="G63" s="313"/>
      <c r="H63" s="313"/>
      <c r="I63" s="313"/>
      <c r="J63" s="313"/>
      <c r="K63" s="313"/>
      <c r="L63" s="313"/>
      <c r="M63" s="314"/>
      <c r="N63" s="226"/>
      <c r="O63" s="226"/>
      <c r="P63" s="227"/>
    </row>
    <row r="64" spans="1:16" ht="13.15" customHeight="1">
      <c r="A64" s="225"/>
      <c r="B64" s="312"/>
      <c r="C64" s="313"/>
      <c r="D64" s="313"/>
      <c r="E64" s="313"/>
      <c r="F64" s="313"/>
      <c r="G64" s="313"/>
      <c r="H64" s="313"/>
      <c r="I64" s="313"/>
      <c r="J64" s="313"/>
      <c r="K64" s="313"/>
      <c r="L64" s="313"/>
      <c r="M64" s="314"/>
      <c r="N64" s="226"/>
      <c r="O64" s="226"/>
      <c r="P64" s="227"/>
    </row>
    <row r="65" spans="1:16" ht="13.15" customHeight="1">
      <c r="A65" s="225"/>
      <c r="B65" s="312"/>
      <c r="C65" s="313"/>
      <c r="D65" s="313"/>
      <c r="E65" s="313"/>
      <c r="F65" s="313"/>
      <c r="G65" s="313"/>
      <c r="H65" s="313"/>
      <c r="I65" s="313"/>
      <c r="J65" s="313"/>
      <c r="K65" s="313"/>
      <c r="L65" s="313"/>
      <c r="M65" s="314"/>
      <c r="N65" s="226"/>
      <c r="O65" s="226"/>
      <c r="P65" s="227"/>
    </row>
    <row r="66" spans="1:16" ht="13.15" customHeight="1">
      <c r="A66" s="225"/>
      <c r="B66" s="312"/>
      <c r="C66" s="313"/>
      <c r="D66" s="313"/>
      <c r="E66" s="313"/>
      <c r="F66" s="313"/>
      <c r="G66" s="313"/>
      <c r="H66" s="313"/>
      <c r="I66" s="313"/>
      <c r="J66" s="313"/>
      <c r="K66" s="313"/>
      <c r="L66" s="313"/>
      <c r="M66" s="314"/>
      <c r="N66" s="226"/>
      <c r="O66" s="226"/>
      <c r="P66" s="227"/>
    </row>
    <row r="67" spans="1:16" ht="13.15" customHeight="1">
      <c r="A67" s="225"/>
      <c r="B67" s="312"/>
      <c r="C67" s="313"/>
      <c r="D67" s="313"/>
      <c r="E67" s="313"/>
      <c r="F67" s="313"/>
      <c r="G67" s="313"/>
      <c r="H67" s="313"/>
      <c r="I67" s="313"/>
      <c r="J67" s="313"/>
      <c r="K67" s="313"/>
      <c r="L67" s="313"/>
      <c r="M67" s="314"/>
      <c r="N67" s="226"/>
      <c r="O67" s="226"/>
      <c r="P67" s="227"/>
    </row>
    <row r="68" spans="1:16" ht="13.15" customHeight="1">
      <c r="A68" s="225"/>
      <c r="B68" s="312"/>
      <c r="C68" s="313"/>
      <c r="D68" s="313"/>
      <c r="E68" s="313"/>
      <c r="F68" s="313"/>
      <c r="G68" s="313"/>
      <c r="H68" s="313"/>
      <c r="I68" s="313"/>
      <c r="J68" s="313"/>
      <c r="K68" s="313"/>
      <c r="L68" s="313"/>
      <c r="M68" s="314"/>
      <c r="N68" s="226"/>
      <c r="O68" s="226"/>
      <c r="P68" s="227"/>
    </row>
    <row r="69" spans="1:16" ht="13.15" customHeight="1">
      <c r="A69" s="225"/>
      <c r="B69" s="312"/>
      <c r="C69" s="313"/>
      <c r="D69" s="313"/>
      <c r="E69" s="313"/>
      <c r="F69" s="313"/>
      <c r="G69" s="313"/>
      <c r="H69" s="313"/>
      <c r="I69" s="313"/>
      <c r="J69" s="313"/>
      <c r="K69" s="313"/>
      <c r="L69" s="313"/>
      <c r="M69" s="314"/>
      <c r="N69" s="226"/>
      <c r="O69" s="226"/>
      <c r="P69" s="227"/>
    </row>
    <row r="70" spans="1:16" ht="13.15" customHeight="1">
      <c r="A70" s="225"/>
      <c r="B70" s="312"/>
      <c r="C70" s="313"/>
      <c r="D70" s="313"/>
      <c r="E70" s="313"/>
      <c r="F70" s="313"/>
      <c r="G70" s="313"/>
      <c r="H70" s="313"/>
      <c r="I70" s="313"/>
      <c r="J70" s="313"/>
      <c r="K70" s="313"/>
      <c r="L70" s="313"/>
      <c r="M70" s="314"/>
      <c r="N70" s="226"/>
      <c r="O70" s="226"/>
      <c r="P70" s="227"/>
    </row>
    <row r="71" spans="1:16" ht="13.15" customHeight="1">
      <c r="A71" s="225"/>
      <c r="B71" s="312"/>
      <c r="C71" s="313"/>
      <c r="D71" s="313"/>
      <c r="E71" s="313"/>
      <c r="F71" s="313"/>
      <c r="G71" s="313"/>
      <c r="H71" s="313"/>
      <c r="I71" s="313"/>
      <c r="J71" s="313"/>
      <c r="K71" s="313"/>
      <c r="L71" s="313"/>
      <c r="M71" s="314"/>
      <c r="N71" s="226"/>
      <c r="O71" s="226"/>
      <c r="P71" s="227"/>
    </row>
    <row r="72" spans="1:16" ht="13.15" customHeight="1">
      <c r="A72" s="225"/>
      <c r="B72" s="312"/>
      <c r="C72" s="313"/>
      <c r="D72" s="313"/>
      <c r="E72" s="313"/>
      <c r="F72" s="313"/>
      <c r="G72" s="313"/>
      <c r="H72" s="313"/>
      <c r="I72" s="313"/>
      <c r="J72" s="313"/>
      <c r="K72" s="313"/>
      <c r="L72" s="313"/>
      <c r="M72" s="314"/>
      <c r="N72" s="226"/>
      <c r="O72" s="226"/>
      <c r="P72" s="227"/>
    </row>
    <row r="73" spans="1:16" ht="13.15" customHeight="1">
      <c r="A73" s="225"/>
      <c r="B73" s="312"/>
      <c r="C73" s="313"/>
      <c r="D73" s="313"/>
      <c r="E73" s="313"/>
      <c r="F73" s="313"/>
      <c r="G73" s="313"/>
      <c r="H73" s="313"/>
      <c r="I73" s="313"/>
      <c r="J73" s="313"/>
      <c r="K73" s="313"/>
      <c r="L73" s="313"/>
      <c r="M73" s="314"/>
      <c r="N73" s="226"/>
      <c r="O73" s="226"/>
      <c r="P73" s="227"/>
    </row>
    <row r="74" spans="1:16" ht="13.15" customHeight="1">
      <c r="A74" s="225"/>
      <c r="B74" s="312"/>
      <c r="C74" s="313"/>
      <c r="D74" s="313"/>
      <c r="E74" s="313"/>
      <c r="F74" s="313"/>
      <c r="G74" s="313"/>
      <c r="H74" s="313"/>
      <c r="I74" s="313"/>
      <c r="J74" s="313"/>
      <c r="K74" s="313"/>
      <c r="L74" s="313"/>
      <c r="M74" s="314"/>
      <c r="N74" s="226"/>
      <c r="O74" s="226"/>
      <c r="P74" s="227"/>
    </row>
    <row r="75" spans="1:16" ht="13.15" customHeight="1">
      <c r="A75" s="225"/>
      <c r="B75" s="312"/>
      <c r="C75" s="313"/>
      <c r="D75" s="313"/>
      <c r="E75" s="313"/>
      <c r="F75" s="313"/>
      <c r="G75" s="313"/>
      <c r="H75" s="313"/>
      <c r="I75" s="313"/>
      <c r="J75" s="313"/>
      <c r="K75" s="313"/>
      <c r="L75" s="313"/>
      <c r="M75" s="314"/>
      <c r="N75" s="226"/>
      <c r="O75" s="226"/>
      <c r="P75" s="227"/>
    </row>
    <row r="76" spans="1:16" ht="13.15" customHeight="1">
      <c r="A76" s="225"/>
      <c r="B76" s="312"/>
      <c r="C76" s="313"/>
      <c r="D76" s="313"/>
      <c r="E76" s="313"/>
      <c r="F76" s="313"/>
      <c r="G76" s="313"/>
      <c r="H76" s="313"/>
      <c r="I76" s="313"/>
      <c r="J76" s="313"/>
      <c r="K76" s="313"/>
      <c r="L76" s="313"/>
      <c r="M76" s="314"/>
      <c r="N76" s="226"/>
      <c r="O76" s="226"/>
      <c r="P76" s="227"/>
    </row>
    <row r="77" spans="1:16" ht="13.15" customHeight="1">
      <c r="A77" s="225"/>
      <c r="B77" s="312"/>
      <c r="C77" s="313"/>
      <c r="D77" s="313"/>
      <c r="E77" s="313"/>
      <c r="F77" s="313"/>
      <c r="G77" s="313"/>
      <c r="H77" s="313"/>
      <c r="I77" s="313"/>
      <c r="J77" s="313"/>
      <c r="K77" s="313"/>
      <c r="L77" s="313"/>
      <c r="M77" s="314"/>
      <c r="N77" s="226"/>
      <c r="O77" s="226"/>
      <c r="P77" s="227"/>
    </row>
    <row r="78" spans="1:16" ht="12.75">
      <c r="A78" s="225"/>
      <c r="B78" s="312"/>
      <c r="C78" s="313"/>
      <c r="D78" s="313"/>
      <c r="E78" s="313"/>
      <c r="F78" s="313"/>
      <c r="G78" s="313"/>
      <c r="H78" s="313"/>
      <c r="I78" s="313"/>
      <c r="J78" s="313"/>
      <c r="K78" s="313"/>
      <c r="L78" s="313"/>
      <c r="M78" s="314"/>
      <c r="N78" s="226"/>
      <c r="O78" s="226"/>
      <c r="P78" s="227"/>
    </row>
    <row r="79" spans="1:16" ht="12.75">
      <c r="A79" s="225"/>
      <c r="B79" s="312"/>
      <c r="C79" s="313"/>
      <c r="D79" s="313"/>
      <c r="E79" s="313"/>
      <c r="F79" s="313"/>
      <c r="G79" s="313"/>
      <c r="H79" s="313"/>
      <c r="I79" s="313"/>
      <c r="J79" s="313"/>
      <c r="K79" s="313"/>
      <c r="L79" s="313"/>
      <c r="M79" s="314"/>
      <c r="N79" s="226"/>
      <c r="O79" s="226"/>
      <c r="P79" s="227"/>
    </row>
    <row r="80" spans="1:16" ht="12.75">
      <c r="A80" s="225"/>
      <c r="B80" s="312"/>
      <c r="C80" s="313"/>
      <c r="D80" s="313"/>
      <c r="E80" s="313"/>
      <c r="F80" s="313"/>
      <c r="G80" s="313"/>
      <c r="H80" s="313"/>
      <c r="I80" s="313"/>
      <c r="J80" s="313"/>
      <c r="K80" s="313"/>
      <c r="L80" s="313"/>
      <c r="M80" s="314"/>
      <c r="N80" s="226"/>
      <c r="O80" s="226"/>
      <c r="P80" s="227"/>
    </row>
    <row r="81" spans="1:16" ht="12.75">
      <c r="A81" s="225"/>
      <c r="B81" s="312"/>
      <c r="C81" s="313"/>
      <c r="D81" s="313"/>
      <c r="E81" s="313"/>
      <c r="F81" s="313"/>
      <c r="G81" s="313"/>
      <c r="H81" s="313"/>
      <c r="I81" s="313"/>
      <c r="J81" s="313"/>
      <c r="K81" s="313"/>
      <c r="L81" s="313"/>
      <c r="M81" s="314"/>
      <c r="N81" s="226"/>
      <c r="O81" s="226"/>
      <c r="P81" s="227"/>
    </row>
    <row r="82" spans="1:16" ht="12.75">
      <c r="A82" s="225"/>
      <c r="B82" s="312"/>
      <c r="C82" s="313"/>
      <c r="D82" s="313"/>
      <c r="E82" s="313"/>
      <c r="F82" s="313"/>
      <c r="G82" s="313"/>
      <c r="H82" s="313"/>
      <c r="I82" s="313"/>
      <c r="J82" s="313"/>
      <c r="K82" s="313"/>
      <c r="L82" s="313"/>
      <c r="M82" s="314"/>
      <c r="N82" s="226"/>
      <c r="O82" s="226"/>
      <c r="P82" s="227"/>
    </row>
    <row r="83" spans="1:16" ht="12.75">
      <c r="A83" s="225"/>
      <c r="B83" s="312"/>
      <c r="C83" s="313"/>
      <c r="D83" s="313"/>
      <c r="E83" s="313"/>
      <c r="F83" s="313"/>
      <c r="G83" s="313"/>
      <c r="H83" s="313"/>
      <c r="I83" s="313"/>
      <c r="J83" s="313"/>
      <c r="K83" s="313"/>
      <c r="L83" s="313"/>
      <c r="M83" s="314"/>
      <c r="N83" s="226"/>
      <c r="O83" s="226"/>
      <c r="P83" s="227"/>
    </row>
    <row r="84" spans="1:16" ht="12.75">
      <c r="A84" s="225"/>
      <c r="B84" s="312"/>
      <c r="C84" s="313"/>
      <c r="D84" s="313"/>
      <c r="E84" s="313"/>
      <c r="F84" s="313"/>
      <c r="G84" s="313"/>
      <c r="H84" s="313"/>
      <c r="I84" s="313"/>
      <c r="J84" s="313"/>
      <c r="K84" s="313"/>
      <c r="L84" s="313"/>
      <c r="M84" s="314"/>
      <c r="N84" s="226"/>
      <c r="O84" s="226"/>
      <c r="P84" s="227"/>
    </row>
    <row r="85" spans="1:16" ht="12.75">
      <c r="A85" s="225"/>
      <c r="B85" s="312"/>
      <c r="C85" s="313"/>
      <c r="D85" s="313"/>
      <c r="E85" s="313"/>
      <c r="F85" s="313"/>
      <c r="G85" s="313"/>
      <c r="H85" s="313"/>
      <c r="I85" s="313"/>
      <c r="J85" s="313"/>
      <c r="K85" s="313"/>
      <c r="L85" s="313"/>
      <c r="M85" s="314"/>
      <c r="N85" s="226"/>
      <c r="O85" s="226"/>
      <c r="P85" s="227"/>
    </row>
    <row r="86" spans="1:16" ht="12.75">
      <c r="A86" s="225"/>
      <c r="B86" s="312"/>
      <c r="C86" s="313"/>
      <c r="D86" s="313"/>
      <c r="E86" s="313"/>
      <c r="F86" s="313"/>
      <c r="G86" s="313"/>
      <c r="H86" s="313"/>
      <c r="I86" s="313"/>
      <c r="J86" s="313"/>
      <c r="K86" s="313"/>
      <c r="L86" s="313"/>
      <c r="M86" s="314"/>
      <c r="N86" s="226"/>
      <c r="O86" s="226"/>
      <c r="P86" s="227"/>
    </row>
    <row r="87" spans="1:16" ht="12.75">
      <c r="A87" s="225"/>
      <c r="B87" s="312"/>
      <c r="C87" s="313"/>
      <c r="D87" s="313"/>
      <c r="E87" s="313"/>
      <c r="F87" s="313"/>
      <c r="G87" s="313"/>
      <c r="H87" s="313"/>
      <c r="I87" s="313"/>
      <c r="J87" s="313"/>
      <c r="K87" s="313"/>
      <c r="L87" s="313"/>
      <c r="M87" s="314"/>
      <c r="N87" s="226"/>
      <c r="O87" s="226"/>
      <c r="P87" s="227"/>
    </row>
    <row r="88" spans="1:16" ht="12.75">
      <c r="A88" s="225"/>
      <c r="B88" s="312"/>
      <c r="C88" s="313"/>
      <c r="D88" s="313"/>
      <c r="E88" s="313"/>
      <c r="F88" s="313"/>
      <c r="G88" s="313"/>
      <c r="H88" s="313"/>
      <c r="I88" s="313"/>
      <c r="J88" s="313"/>
      <c r="K88" s="313"/>
      <c r="L88" s="313"/>
      <c r="M88" s="314"/>
      <c r="N88" s="226"/>
      <c r="O88" s="226"/>
      <c r="P88" s="227"/>
    </row>
    <row r="89" spans="1:16" ht="12.75">
      <c r="A89" s="225"/>
      <c r="B89" s="312"/>
      <c r="C89" s="313"/>
      <c r="D89" s="313"/>
      <c r="E89" s="313"/>
      <c r="F89" s="313"/>
      <c r="G89" s="313"/>
      <c r="H89" s="313"/>
      <c r="I89" s="313"/>
      <c r="J89" s="313"/>
      <c r="K89" s="313"/>
      <c r="L89" s="313"/>
      <c r="M89" s="314"/>
      <c r="N89" s="226"/>
      <c r="O89" s="226"/>
      <c r="P89" s="227"/>
    </row>
    <row r="90" spans="1:16" ht="12.75">
      <c r="A90" s="225"/>
      <c r="B90" s="312"/>
      <c r="C90" s="313"/>
      <c r="D90" s="313"/>
      <c r="E90" s="313"/>
      <c r="F90" s="313"/>
      <c r="G90" s="313"/>
      <c r="H90" s="313"/>
      <c r="I90" s="313"/>
      <c r="J90" s="313"/>
      <c r="K90" s="313"/>
      <c r="L90" s="313"/>
      <c r="M90" s="314"/>
      <c r="N90" s="226"/>
      <c r="O90" s="226"/>
      <c r="P90" s="227"/>
    </row>
    <row r="91" spans="1:16" ht="12.75">
      <c r="A91" s="225"/>
      <c r="B91" s="312"/>
      <c r="C91" s="313"/>
      <c r="D91" s="313"/>
      <c r="E91" s="313"/>
      <c r="F91" s="313"/>
      <c r="G91" s="313"/>
      <c r="H91" s="313"/>
      <c r="I91" s="313"/>
      <c r="J91" s="313"/>
      <c r="K91" s="313"/>
      <c r="L91" s="313"/>
      <c r="M91" s="314"/>
      <c r="N91" s="226"/>
      <c r="O91" s="226"/>
      <c r="P91" s="227"/>
    </row>
    <row r="92" spans="1:16" ht="12.75">
      <c r="A92" s="225"/>
      <c r="B92" s="312"/>
      <c r="C92" s="313"/>
      <c r="D92" s="313"/>
      <c r="E92" s="313"/>
      <c r="F92" s="313"/>
      <c r="G92" s="313"/>
      <c r="H92" s="313"/>
      <c r="I92" s="313"/>
      <c r="J92" s="313"/>
      <c r="K92" s="313"/>
      <c r="L92" s="313"/>
      <c r="M92" s="314"/>
      <c r="N92" s="226"/>
      <c r="O92" s="226"/>
      <c r="P92" s="227"/>
    </row>
    <row r="93" spans="1:16" ht="12.75">
      <c r="A93" s="225"/>
      <c r="B93" s="312"/>
      <c r="C93" s="313"/>
      <c r="D93" s="313"/>
      <c r="E93" s="313"/>
      <c r="F93" s="313"/>
      <c r="G93" s="313"/>
      <c r="H93" s="313"/>
      <c r="I93" s="313"/>
      <c r="J93" s="313"/>
      <c r="K93" s="313"/>
      <c r="L93" s="313"/>
      <c r="M93" s="314"/>
      <c r="N93" s="226"/>
      <c r="O93" s="226"/>
      <c r="P93" s="227"/>
    </row>
    <row r="94" spans="1:16" ht="12.75">
      <c r="A94" s="225"/>
      <c r="B94" s="312"/>
      <c r="C94" s="313"/>
      <c r="D94" s="313"/>
      <c r="E94" s="313"/>
      <c r="F94" s="313"/>
      <c r="G94" s="313"/>
      <c r="H94" s="313"/>
      <c r="I94" s="313"/>
      <c r="J94" s="313"/>
      <c r="K94" s="313"/>
      <c r="L94" s="313"/>
      <c r="M94" s="314"/>
      <c r="N94" s="226"/>
      <c r="O94" s="226"/>
      <c r="P94" s="227"/>
    </row>
    <row r="95" spans="1:16" ht="12.75">
      <c r="A95" s="225"/>
      <c r="B95" s="312"/>
      <c r="C95" s="313"/>
      <c r="D95" s="313"/>
      <c r="E95" s="313"/>
      <c r="F95" s="313"/>
      <c r="G95" s="313"/>
      <c r="H95" s="313"/>
      <c r="I95" s="313"/>
      <c r="J95" s="313"/>
      <c r="K95" s="313"/>
      <c r="L95" s="313"/>
      <c r="M95" s="314"/>
      <c r="N95" s="226"/>
      <c r="O95" s="226"/>
      <c r="P95" s="227"/>
    </row>
    <row r="96" spans="1:16" ht="12.75">
      <c r="A96" s="225"/>
      <c r="B96" s="312"/>
      <c r="C96" s="313"/>
      <c r="D96" s="313"/>
      <c r="E96" s="313"/>
      <c r="F96" s="313"/>
      <c r="G96" s="313"/>
      <c r="H96" s="313"/>
      <c r="I96" s="313"/>
      <c r="J96" s="313"/>
      <c r="K96" s="313"/>
      <c r="L96" s="313"/>
      <c r="M96" s="314"/>
      <c r="N96" s="226"/>
      <c r="O96" s="226"/>
      <c r="P96" s="227"/>
    </row>
    <row r="97" spans="1:16" ht="12.75">
      <c r="A97" s="225"/>
      <c r="B97" s="312"/>
      <c r="C97" s="313"/>
      <c r="D97" s="313"/>
      <c r="E97" s="313"/>
      <c r="F97" s="313"/>
      <c r="G97" s="313"/>
      <c r="H97" s="313"/>
      <c r="I97" s="313"/>
      <c r="J97" s="313"/>
      <c r="K97" s="313"/>
      <c r="L97" s="313"/>
      <c r="M97" s="314"/>
      <c r="N97" s="226"/>
      <c r="O97" s="226"/>
      <c r="P97" s="227"/>
    </row>
    <row r="98" spans="1:16" ht="13.5" thickBot="1">
      <c r="A98" s="225"/>
      <c r="B98" s="315"/>
      <c r="C98" s="316"/>
      <c r="D98" s="316"/>
      <c r="E98" s="316"/>
      <c r="F98" s="316"/>
      <c r="G98" s="316"/>
      <c r="H98" s="316"/>
      <c r="I98" s="316"/>
      <c r="J98" s="316"/>
      <c r="K98" s="316"/>
      <c r="L98" s="316"/>
      <c r="M98" s="317"/>
      <c r="N98" s="226"/>
      <c r="O98" s="226"/>
      <c r="P98" s="227"/>
    </row>
    <row r="99" spans="1:16" ht="12.75">
      <c r="A99" s="225"/>
      <c r="B99" s="226"/>
      <c r="C99" s="226"/>
      <c r="D99" s="226"/>
      <c r="E99" s="226"/>
      <c r="F99" s="226"/>
      <c r="G99" s="226"/>
      <c r="H99" s="226"/>
      <c r="I99" s="226"/>
      <c r="J99" s="226"/>
      <c r="K99" s="226"/>
      <c r="L99" s="226"/>
      <c r="M99" s="226"/>
      <c r="N99" s="226"/>
      <c r="O99" s="226"/>
      <c r="P99" s="227"/>
    </row>
    <row r="100" spans="1:16" ht="12.75">
      <c r="A100" s="225"/>
      <c r="B100" s="226"/>
      <c r="C100" s="226"/>
      <c r="D100" s="226"/>
      <c r="E100" s="226"/>
      <c r="F100" s="226"/>
      <c r="G100" s="226"/>
      <c r="H100" s="226"/>
      <c r="I100" s="226"/>
      <c r="J100" s="226"/>
      <c r="K100" s="226"/>
      <c r="L100" s="226"/>
      <c r="M100" s="226"/>
      <c r="N100" s="226"/>
      <c r="O100" s="226"/>
      <c r="P100" s="227"/>
    </row>
    <row r="101" spans="1:16" ht="13.5" thickBot="1">
      <c r="A101" s="257"/>
      <c r="B101" s="258"/>
      <c r="C101" s="258"/>
      <c r="D101" s="258"/>
      <c r="E101" s="258"/>
      <c r="F101" s="258"/>
      <c r="G101" s="258"/>
      <c r="H101" s="258"/>
      <c r="I101" s="258"/>
      <c r="J101" s="258"/>
      <c r="K101" s="258"/>
      <c r="L101" s="258"/>
      <c r="M101" s="258"/>
      <c r="N101" s="258"/>
      <c r="O101" s="258"/>
      <c r="P101" s="259"/>
    </row>
    <row r="102" spans="1:16" ht="13.5" thickTop="1">
      <c r="A102" s="241"/>
      <c r="B102" s="241"/>
      <c r="C102" s="241"/>
      <c r="D102" s="241"/>
      <c r="E102" s="241"/>
      <c r="F102" s="241"/>
      <c r="G102" s="241"/>
      <c r="H102" s="241"/>
      <c r="I102" s="241"/>
      <c r="J102" s="241"/>
      <c r="K102" s="241"/>
      <c r="L102" s="241"/>
      <c r="M102" s="241"/>
      <c r="N102" s="241"/>
      <c r="O102" s="241"/>
      <c r="P102" s="241"/>
    </row>
  </sheetData>
  <sheetProtection selectLockedCells="1"/>
  <mergeCells count="2">
    <mergeCell ref="B15:I15"/>
    <mergeCell ref="B36:M98"/>
  </mergeCells>
  <hyperlinks>
    <hyperlink ref="B15:I15" r:id="rId1" display="LM5066i Datashee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27"/>
  <sheetViews>
    <sheetView tabSelected="1" topLeftCell="B70" zoomScale="85" zoomScaleNormal="85" zoomScaleSheetLayoutView="100" workbookViewId="0">
      <selection activeCell="F91" sqref="F91"/>
    </sheetView>
  </sheetViews>
  <sheetFormatPr defaultRowHeight="13.15"/>
  <cols>
    <col min="1" max="1" width="0.5703125" customWidth="1"/>
    <col min="2" max="2" width="30" customWidth="1"/>
    <col min="3" max="3" width="15.28515625" customWidth="1"/>
    <col min="4" max="4" width="16.5703125" customWidth="1"/>
    <col min="5" max="5" width="20.7109375" customWidth="1"/>
    <col min="6" max="6" width="15.7109375" customWidth="1"/>
    <col min="7" max="7" width="5.5703125" style="158" customWidth="1"/>
    <col min="8" max="8" width="9.5703125" customWidth="1"/>
    <col min="9" max="9" width="12.7109375" customWidth="1"/>
    <col min="11" max="11" width="10.28515625" customWidth="1"/>
    <col min="12" max="12" width="8.7109375" customWidth="1"/>
    <col min="13" max="13" width="9.7109375" customWidth="1"/>
    <col min="14" max="19" width="0" hidden="1" customWidth="1"/>
    <col min="20" max="20" width="2.7109375" hidden="1" customWidth="1"/>
    <col min="21" max="21" width="3" hidden="1" customWidth="1"/>
    <col min="22" max="22" width="1.28515625" hidden="1" customWidth="1"/>
    <col min="23" max="23" width="3.7109375" hidden="1" customWidth="1"/>
    <col min="24" max="38" width="0" hidden="1" customWidth="1"/>
    <col min="39" max="39" width="11.7109375" customWidth="1"/>
    <col min="40" max="40" width="14.28515625" hidden="1" customWidth="1"/>
    <col min="41" max="41" width="9.28515625" hidden="1" customWidth="1"/>
    <col min="42" max="42" width="12.28515625" customWidth="1"/>
    <col min="43" max="43" width="12" customWidth="1"/>
    <col min="44" max="44" width="13.42578125" customWidth="1"/>
    <col min="45" max="45" width="14.5703125" customWidth="1"/>
    <col min="46" max="46" width="14.7109375" customWidth="1"/>
    <col min="47" max="47" width="11.28515625" hidden="1" customWidth="1"/>
    <col min="48" max="48" width="13" customWidth="1"/>
    <col min="49" max="49" width="13.42578125" customWidth="1"/>
    <col min="50" max="50" width="14.7109375" customWidth="1"/>
    <col min="51" max="51" width="14.28515625" customWidth="1"/>
    <col min="52" max="52" width="12.7109375" customWidth="1"/>
    <col min="53" max="53" width="12.5703125" customWidth="1"/>
    <col min="54" max="54" width="9.7109375" customWidth="1"/>
    <col min="55" max="55" width="12.7109375" customWidth="1"/>
    <col min="56" max="57" width="13.7109375" customWidth="1"/>
    <col min="58" max="59" width="14.42578125" customWidth="1"/>
    <col min="60" max="60" width="15.42578125" customWidth="1"/>
    <col min="61" max="61" width="15.28515625" customWidth="1"/>
    <col min="62" max="62" width="15.7109375" customWidth="1"/>
    <col min="63" max="63" width="12.5703125" customWidth="1"/>
    <col min="64" max="64" width="16.7109375" customWidth="1"/>
    <col min="65" max="65" width="15.42578125" customWidth="1"/>
    <col min="66" max="66" width="14.5703125" customWidth="1"/>
    <col min="67" max="67" width="10" customWidth="1"/>
    <col min="68" max="68" width="6.28515625" customWidth="1"/>
    <col min="69" max="69" width="7.28515625" customWidth="1"/>
    <col min="70" max="70" width="8.28515625" customWidth="1"/>
    <col min="71" max="71" width="4.7109375" customWidth="1"/>
  </cols>
  <sheetData>
    <row r="1" spans="1:47" s="123" customFormat="1" ht="60.75" customHeight="1">
      <c r="A1" s="320" t="s">
        <v>21</v>
      </c>
      <c r="B1" s="321"/>
      <c r="C1" s="321"/>
      <c r="D1" s="321"/>
      <c r="E1" s="321"/>
      <c r="F1" s="321"/>
      <c r="G1" s="321"/>
      <c r="H1" s="321"/>
      <c r="I1" s="321"/>
      <c r="J1" s="321"/>
      <c r="K1" s="321"/>
      <c r="L1" s="321"/>
      <c r="M1" s="321"/>
      <c r="N1" s="38"/>
      <c r="O1" s="38"/>
      <c r="P1" s="38"/>
      <c r="Q1" s="38"/>
      <c r="R1" s="36"/>
      <c r="S1" s="37"/>
      <c r="T1" s="35"/>
      <c r="U1" s="35"/>
      <c r="V1" s="35"/>
      <c r="W1" s="35"/>
      <c r="X1" s="35"/>
      <c r="Y1" s="35"/>
      <c r="Z1" s="35"/>
      <c r="AA1" s="35"/>
      <c r="AB1" s="35"/>
      <c r="AC1" s="35"/>
      <c r="AD1" s="35"/>
      <c r="AE1" s="35"/>
      <c r="AF1" s="35"/>
      <c r="AG1" s="35"/>
      <c r="AH1" s="35"/>
      <c r="AI1" s="35"/>
      <c r="AJ1" s="35"/>
      <c r="AK1" s="35"/>
      <c r="AL1" s="35"/>
      <c r="AM1" s="35"/>
    </row>
    <row r="2" spans="1:47" ht="15.75">
      <c r="A2" s="17"/>
      <c r="B2" s="34" t="s">
        <v>22</v>
      </c>
      <c r="C2" s="17"/>
      <c r="D2" s="17"/>
      <c r="E2" s="17"/>
      <c r="F2" s="18"/>
      <c r="G2" s="18"/>
      <c r="H2" s="17"/>
      <c r="I2" s="17"/>
      <c r="J2" s="17"/>
      <c r="K2" s="17"/>
      <c r="L2" s="319"/>
      <c r="M2" s="319"/>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241"/>
      <c r="AO2" s="241"/>
      <c r="AP2" s="241"/>
      <c r="AQ2" s="241"/>
      <c r="AR2" s="241"/>
      <c r="AS2" s="241"/>
      <c r="AT2" s="241"/>
      <c r="AU2" s="241"/>
    </row>
    <row r="3" spans="1:47" ht="12.75">
      <c r="A3" s="17"/>
      <c r="B3" s="17"/>
      <c r="C3" s="17"/>
      <c r="D3" s="17"/>
      <c r="E3" s="17"/>
      <c r="F3" s="17"/>
      <c r="G3" s="18"/>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241"/>
      <c r="AO3" s="241"/>
      <c r="AP3" s="241"/>
      <c r="AQ3" s="241"/>
      <c r="AR3" s="241"/>
      <c r="AS3" s="241"/>
      <c r="AT3" s="241"/>
      <c r="AU3" s="241"/>
    </row>
    <row r="4" spans="1:47" ht="12.75">
      <c r="A4" s="17"/>
      <c r="B4" s="17"/>
      <c r="C4" s="17"/>
      <c r="D4" s="17"/>
      <c r="E4" s="17"/>
      <c r="F4" s="17"/>
      <c r="G4" s="18"/>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241"/>
      <c r="AO4" s="241"/>
      <c r="AP4" s="241"/>
      <c r="AQ4" s="241"/>
      <c r="AR4" s="241"/>
      <c r="AS4" s="241"/>
      <c r="AT4" s="241"/>
      <c r="AU4" s="241"/>
    </row>
    <row r="5" spans="1:47" ht="12.75">
      <c r="A5" s="17"/>
      <c r="B5" s="17"/>
      <c r="C5" s="17"/>
      <c r="D5" s="17"/>
      <c r="E5" s="17"/>
      <c r="F5" s="17"/>
      <c r="G5" s="18"/>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241"/>
      <c r="AO5" s="241"/>
      <c r="AP5" s="241"/>
      <c r="AQ5" s="241"/>
      <c r="AR5" s="241"/>
      <c r="AS5" s="241"/>
      <c r="AT5" s="241"/>
      <c r="AU5" s="241"/>
    </row>
    <row r="6" spans="1:47" ht="12.75">
      <c r="A6" s="17"/>
      <c r="B6" s="17"/>
      <c r="C6" s="17"/>
      <c r="D6" s="17"/>
      <c r="E6" s="17"/>
      <c r="F6" s="17"/>
      <c r="G6" s="18"/>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241"/>
      <c r="AO6" s="241"/>
      <c r="AP6" s="241"/>
      <c r="AQ6" s="241"/>
      <c r="AR6" s="241"/>
      <c r="AS6" s="241"/>
      <c r="AT6" s="241"/>
      <c r="AU6" s="241"/>
    </row>
    <row r="7" spans="1:47" ht="16.5" customHeight="1">
      <c r="A7" s="17"/>
      <c r="B7" s="17"/>
      <c r="C7" s="17"/>
      <c r="D7" s="17"/>
      <c r="E7" s="17"/>
      <c r="F7" s="17"/>
      <c r="G7" s="18"/>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241"/>
      <c r="AO7" s="241"/>
      <c r="AP7" s="241"/>
      <c r="AQ7" s="241"/>
      <c r="AR7" s="241"/>
      <c r="AS7" s="241"/>
      <c r="AT7" s="241"/>
      <c r="AU7" s="241"/>
    </row>
    <row r="8" spans="1:47" ht="12.75">
      <c r="A8" s="17"/>
      <c r="B8" s="17"/>
      <c r="C8" s="17"/>
      <c r="D8" s="17"/>
      <c r="E8" s="17"/>
      <c r="F8" s="17"/>
      <c r="G8" s="18"/>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241"/>
      <c r="AO8" s="241"/>
      <c r="AP8" s="241"/>
      <c r="AQ8" s="241"/>
      <c r="AR8" s="241"/>
      <c r="AS8" s="241"/>
      <c r="AT8" s="241"/>
      <c r="AU8" s="241"/>
    </row>
    <row r="9" spans="1:47" ht="15" customHeight="1">
      <c r="A9" s="17"/>
      <c r="B9" s="22"/>
      <c r="C9" s="194"/>
      <c r="D9" s="187" t="s">
        <v>23</v>
      </c>
      <c r="E9" s="115"/>
      <c r="F9" s="17"/>
      <c r="G9" s="18"/>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241"/>
      <c r="AO9" s="241"/>
      <c r="AP9" s="241"/>
      <c r="AQ9" s="241"/>
      <c r="AR9" s="241"/>
      <c r="AS9" s="241"/>
      <c r="AT9" s="241"/>
      <c r="AU9" s="241"/>
    </row>
    <row r="10" spans="1:47" ht="15" customHeight="1">
      <c r="A10" s="17"/>
      <c r="B10" s="23"/>
      <c r="C10" s="19"/>
      <c r="D10" s="17" t="s">
        <v>24</v>
      </c>
      <c r="E10" s="116"/>
      <c r="F10" s="17"/>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241"/>
      <c r="AO10" s="241"/>
      <c r="AP10" s="241"/>
      <c r="AQ10" s="241"/>
      <c r="AR10" s="241"/>
      <c r="AS10" s="241"/>
      <c r="AT10" s="241"/>
      <c r="AU10" s="241"/>
    </row>
    <row r="11" spans="1:47" ht="22.9" customHeight="1">
      <c r="A11" s="17"/>
      <c r="B11" s="23"/>
      <c r="C11" s="205"/>
      <c r="D11" s="322" t="s">
        <v>25</v>
      </c>
      <c r="E11" s="323"/>
      <c r="F11" s="17"/>
      <c r="G11" s="18"/>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241"/>
      <c r="AO11" s="241"/>
      <c r="AP11" s="241"/>
      <c r="AQ11" s="241"/>
      <c r="AR11" s="241"/>
      <c r="AS11" s="241"/>
      <c r="AT11" s="241"/>
      <c r="AU11" s="241"/>
    </row>
    <row r="12" spans="1:47" ht="18" customHeight="1">
      <c r="A12" s="17"/>
      <c r="B12" s="23"/>
      <c r="C12" s="204"/>
      <c r="D12" s="322"/>
      <c r="E12" s="323"/>
      <c r="F12" s="17"/>
      <c r="G12" s="18"/>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241"/>
      <c r="AO12" s="241"/>
      <c r="AP12" s="241"/>
      <c r="AQ12" s="241"/>
      <c r="AR12" s="241"/>
      <c r="AS12" s="241"/>
      <c r="AT12" s="241"/>
      <c r="AU12" s="241"/>
    </row>
    <row r="13" spans="1:47" s="241" customFormat="1" ht="18" customHeight="1" thickBot="1">
      <c r="A13" s="17"/>
      <c r="B13" s="23"/>
      <c r="C13" s="264"/>
      <c r="D13" s="263"/>
      <c r="E13" s="301"/>
      <c r="F13" s="17"/>
      <c r="G13" s="18"/>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47" s="241" customFormat="1" ht="18" customHeight="1">
      <c r="A14" s="17"/>
      <c r="B14" s="275" t="s">
        <v>26</v>
      </c>
      <c r="C14" s="286"/>
      <c r="D14" s="329" t="s">
        <v>27</v>
      </c>
      <c r="E14" s="329"/>
      <c r="F14" s="329"/>
      <c r="G14" s="329"/>
      <c r="H14" s="283"/>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73"/>
      <c r="AU14" s="242" t="s">
        <v>28</v>
      </c>
    </row>
    <row r="15" spans="1:47" s="241" customFormat="1" ht="18" customHeight="1">
      <c r="A15" s="17"/>
      <c r="B15" s="276"/>
      <c r="C15" s="285"/>
      <c r="D15" s="330"/>
      <c r="E15" s="330"/>
      <c r="F15" s="330"/>
      <c r="G15" s="330"/>
      <c r="H15" s="284"/>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71"/>
      <c r="AU15" s="242" t="s">
        <v>29</v>
      </c>
    </row>
    <row r="16" spans="1:47" s="241" customFormat="1" ht="15">
      <c r="A16" s="17"/>
      <c r="B16" s="328"/>
      <c r="C16" s="277"/>
      <c r="D16" s="335" t="s">
        <v>30</v>
      </c>
      <c r="E16" s="335"/>
      <c r="F16" s="335"/>
      <c r="G16" s="335"/>
      <c r="H16" s="335"/>
      <c r="I16" s="335"/>
      <c r="J16" s="300"/>
      <c r="K16" s="274"/>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71"/>
    </row>
    <row r="17" spans="1:39" s="241" customFormat="1" ht="15">
      <c r="A17" s="17"/>
      <c r="B17" s="328"/>
      <c r="C17" s="277"/>
      <c r="D17" s="335" t="s">
        <v>31</v>
      </c>
      <c r="E17" s="335"/>
      <c r="F17" s="335"/>
      <c r="G17" s="335"/>
      <c r="H17" s="335"/>
      <c r="I17" s="33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71"/>
    </row>
    <row r="18" spans="1:39" s="241" customFormat="1" ht="15">
      <c r="A18" s="17"/>
      <c r="B18" s="328"/>
      <c r="C18" s="277"/>
      <c r="D18" s="335" t="s">
        <v>32</v>
      </c>
      <c r="E18" s="335"/>
      <c r="F18" s="335"/>
      <c r="G18" s="335"/>
      <c r="H18" s="335"/>
      <c r="I18" s="33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71"/>
    </row>
    <row r="19" spans="1:39" s="241" customFormat="1" ht="15">
      <c r="A19" s="17"/>
      <c r="B19" s="328"/>
      <c r="C19" s="277"/>
      <c r="D19" s="335" t="s">
        <v>33</v>
      </c>
      <c r="E19" s="335"/>
      <c r="F19" s="335"/>
      <c r="G19" s="335"/>
      <c r="H19" s="335"/>
      <c r="I19" s="33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71"/>
    </row>
    <row r="20" spans="1:39" s="241" customFormat="1" ht="15">
      <c r="A20" s="17"/>
      <c r="B20" s="281"/>
      <c r="C20" s="277"/>
      <c r="D20" s="290" t="s">
        <v>34</v>
      </c>
      <c r="E20" s="278"/>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71"/>
    </row>
    <row r="21" spans="1:39" s="241" customFormat="1" ht="18" customHeight="1" thickBot="1">
      <c r="A21" s="17"/>
      <c r="B21" s="268"/>
      <c r="C21" s="265"/>
      <c r="D21" s="265"/>
      <c r="E21" s="266"/>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71"/>
    </row>
    <row r="22" spans="1:39" s="241" customFormat="1" ht="29.65" customHeight="1" thickBot="1">
      <c r="A22" s="17"/>
      <c r="B22" s="268"/>
      <c r="C22" s="265"/>
      <c r="D22" s="331" t="s">
        <v>35</v>
      </c>
      <c r="E22" s="332"/>
      <c r="F22" s="333"/>
      <c r="G22" s="288" t="s">
        <v>28</v>
      </c>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71"/>
    </row>
    <row r="23" spans="1:39" s="241" customFormat="1" ht="27" customHeight="1" thickBot="1">
      <c r="A23" s="17"/>
      <c r="B23" s="268"/>
      <c r="C23" s="265"/>
      <c r="D23" s="336" t="s">
        <v>36</v>
      </c>
      <c r="E23" s="337"/>
      <c r="F23" s="338"/>
      <c r="G23" s="289" t="s">
        <v>28</v>
      </c>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71"/>
    </row>
    <row r="24" spans="1:39" s="241" customFormat="1" ht="9" customHeight="1">
      <c r="A24" s="17"/>
      <c r="B24" s="268"/>
      <c r="C24" s="265"/>
      <c r="D24" s="334" t="s">
        <v>37</v>
      </c>
      <c r="E24" s="334"/>
      <c r="F24" s="334"/>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71"/>
    </row>
    <row r="25" spans="1:39" s="241" customFormat="1" ht="18" customHeight="1">
      <c r="A25" s="17"/>
      <c r="B25" s="268"/>
      <c r="C25" s="265"/>
      <c r="D25" s="334"/>
      <c r="E25" s="334"/>
      <c r="F25" s="334"/>
      <c r="G25" s="282"/>
      <c r="H25" s="265"/>
      <c r="I25" s="265"/>
      <c r="J25" s="274"/>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71"/>
    </row>
    <row r="26" spans="1:39" ht="15" customHeight="1" thickBot="1">
      <c r="A26" s="17"/>
      <c r="B26" s="269"/>
      <c r="C26" s="270"/>
      <c r="D26" s="287"/>
      <c r="E26" s="287"/>
      <c r="F26" s="287"/>
      <c r="G26" s="279"/>
      <c r="H26" s="270"/>
      <c r="I26" s="270"/>
      <c r="J26" s="28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2"/>
    </row>
    <row r="27" spans="1:39" ht="15" customHeight="1">
      <c r="A27" s="17"/>
      <c r="B27" s="146" t="s">
        <v>38</v>
      </c>
      <c r="C27" s="88"/>
      <c r="D27" s="88"/>
      <c r="E27" s="89" t="s">
        <v>39</v>
      </c>
      <c r="F27" s="185">
        <v>11</v>
      </c>
      <c r="G27" s="167" t="s">
        <v>40</v>
      </c>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124"/>
    </row>
    <row r="28" spans="1:39" ht="15" customHeight="1">
      <c r="A28" s="17"/>
      <c r="B28" s="90"/>
      <c r="C28" s="21"/>
      <c r="D28" s="21"/>
      <c r="E28" s="62" t="s">
        <v>41</v>
      </c>
      <c r="F28" s="186">
        <v>14.8</v>
      </c>
      <c r="G28" s="168" t="s">
        <v>40</v>
      </c>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103"/>
    </row>
    <row r="29" spans="1:39" ht="15" customHeight="1">
      <c r="A29" s="17"/>
      <c r="B29" s="91"/>
      <c r="C29" s="21"/>
      <c r="D29" s="21"/>
      <c r="E29" s="62" t="s">
        <v>42</v>
      </c>
      <c r="F29" s="186">
        <v>17</v>
      </c>
      <c r="G29" s="168" t="s">
        <v>40</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103"/>
    </row>
    <row r="30" spans="1:39" ht="15" customHeight="1">
      <c r="A30" s="17"/>
      <c r="B30" s="91"/>
      <c r="C30" s="21"/>
      <c r="D30" s="21"/>
      <c r="E30" s="62" t="s">
        <v>43</v>
      </c>
      <c r="F30" s="186">
        <v>15</v>
      </c>
      <c r="G30" s="168" t="s">
        <v>44</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103"/>
    </row>
    <row r="31" spans="1:39" ht="15" customHeight="1">
      <c r="A31" s="17"/>
      <c r="B31" s="91"/>
      <c r="C31" s="21"/>
      <c r="D31" s="21"/>
      <c r="E31" s="62" t="s">
        <v>45</v>
      </c>
      <c r="F31" s="186">
        <v>10000</v>
      </c>
      <c r="G31" s="169" t="s">
        <v>46</v>
      </c>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103"/>
    </row>
    <row r="32" spans="1:39" ht="15" customHeight="1">
      <c r="A32" s="17"/>
      <c r="B32" s="91"/>
      <c r="C32" s="21"/>
      <c r="D32" s="21"/>
      <c r="E32" s="62" t="s">
        <v>47</v>
      </c>
      <c r="F32" s="291">
        <v>60</v>
      </c>
      <c r="G32" s="168" t="s">
        <v>48</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103"/>
    </row>
    <row r="33" spans="1:40" s="241" customFormat="1" ht="15" customHeight="1">
      <c r="A33" s="17"/>
      <c r="B33" s="339" t="s">
        <v>49</v>
      </c>
      <c r="C33" s="21"/>
      <c r="D33" s="21"/>
      <c r="E33" s="62"/>
      <c r="F33" s="293"/>
      <c r="G33" s="168"/>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103"/>
    </row>
    <row r="34" spans="1:40" s="241" customFormat="1" ht="15" customHeight="1">
      <c r="A34" s="17"/>
      <c r="B34" s="339"/>
      <c r="C34" s="21"/>
      <c r="D34" s="21"/>
      <c r="E34" s="62"/>
      <c r="F34" s="293"/>
      <c r="G34" s="168"/>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103"/>
    </row>
    <row r="35" spans="1:40" s="241" customFormat="1" ht="15" customHeight="1">
      <c r="A35" s="17"/>
      <c r="B35" s="91"/>
      <c r="C35" s="21"/>
      <c r="D35" s="21"/>
      <c r="E35" s="62"/>
      <c r="F35" s="293"/>
      <c r="G35" s="168"/>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103"/>
    </row>
    <row r="36" spans="1:40" s="241" customFormat="1" ht="15" customHeight="1">
      <c r="A36" s="17"/>
      <c r="B36" s="91"/>
      <c r="C36" s="21"/>
      <c r="D36" s="21"/>
      <c r="E36" s="62"/>
      <c r="F36" s="293"/>
      <c r="G36" s="168"/>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103"/>
    </row>
    <row r="37" spans="1:40" s="241" customFormat="1" ht="15" customHeight="1" thickBot="1">
      <c r="A37" s="17"/>
      <c r="B37" s="92"/>
      <c r="C37" s="93"/>
      <c r="D37" s="93"/>
      <c r="E37" s="94"/>
      <c r="F37" s="292"/>
      <c r="G37" s="170"/>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107"/>
    </row>
    <row r="38" spans="1:40" ht="15" customHeight="1">
      <c r="A38" s="17"/>
      <c r="B38" s="146" t="s">
        <v>50</v>
      </c>
      <c r="C38" s="138"/>
      <c r="D38" s="88"/>
      <c r="E38" s="89" t="s">
        <v>51</v>
      </c>
      <c r="F38" s="188" t="s">
        <v>52</v>
      </c>
      <c r="G38" s="171"/>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124"/>
      <c r="AN38" s="242" t="s">
        <v>52</v>
      </c>
    </row>
    <row r="39" spans="1:40" ht="15" customHeight="1">
      <c r="A39" s="17"/>
      <c r="B39" s="95"/>
      <c r="C39" s="21"/>
      <c r="D39" s="21"/>
      <c r="E39" s="62" t="s">
        <v>53</v>
      </c>
      <c r="F39" s="57">
        <f>Equations!F9</f>
        <v>1.5445544554455444</v>
      </c>
      <c r="G39" s="168" t="s">
        <v>54</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103"/>
      <c r="AN39" s="242" t="s">
        <v>55</v>
      </c>
    </row>
    <row r="40" spans="1:40" ht="15" customHeight="1">
      <c r="A40" s="17"/>
      <c r="B40" s="91"/>
      <c r="C40" s="21"/>
      <c r="D40" s="21"/>
      <c r="E40" s="62" t="s">
        <v>56</v>
      </c>
      <c r="F40" s="189" t="s">
        <v>29</v>
      </c>
      <c r="G40" s="168"/>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103"/>
      <c r="AN40" s="242" t="s">
        <v>28</v>
      </c>
    </row>
    <row r="41" spans="1:40" ht="15" customHeight="1">
      <c r="A41" s="17"/>
      <c r="B41" s="91"/>
      <c r="C41" s="21"/>
      <c r="D41" s="21"/>
      <c r="E41" s="62" t="s">
        <v>57</v>
      </c>
      <c r="F41" s="190">
        <v>1.5</v>
      </c>
      <c r="G41" s="168" t="s">
        <v>54</v>
      </c>
      <c r="H41" s="125"/>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103"/>
      <c r="AN41" s="242" t="s">
        <v>29</v>
      </c>
    </row>
    <row r="42" spans="1:40" ht="15" customHeight="1">
      <c r="A42" s="17"/>
      <c r="B42" s="91"/>
      <c r="C42" s="21"/>
      <c r="D42" s="21"/>
      <c r="E42" s="62" t="s">
        <v>58</v>
      </c>
      <c r="F42" s="100" t="str">
        <f>Equations!F10</f>
        <v>NA</v>
      </c>
      <c r="G42" s="172" t="s">
        <v>59</v>
      </c>
      <c r="H42" s="199"/>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103"/>
      <c r="AN42" s="241"/>
    </row>
    <row r="43" spans="1:40" ht="15" customHeight="1">
      <c r="A43" s="17"/>
      <c r="B43" s="91"/>
      <c r="C43" s="21"/>
      <c r="D43" s="21"/>
      <c r="E43" s="62" t="s">
        <v>60</v>
      </c>
      <c r="F43" s="99" t="str">
        <f>Equations!F11</f>
        <v>NA</v>
      </c>
      <c r="G43" s="172" t="s">
        <v>59</v>
      </c>
      <c r="H43" s="199"/>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103"/>
      <c r="AN43" s="241"/>
    </row>
    <row r="44" spans="1:40" ht="15" customHeight="1">
      <c r="A44" s="17"/>
      <c r="B44" s="91"/>
      <c r="C44" s="21"/>
      <c r="D44" s="21"/>
      <c r="E44" s="62" t="s">
        <v>61</v>
      </c>
      <c r="F44" s="189">
        <v>10</v>
      </c>
      <c r="G44" s="172" t="s">
        <v>59</v>
      </c>
      <c r="H44" s="199"/>
      <c r="I44" s="21"/>
      <c r="J44" s="125"/>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103"/>
      <c r="AN44" s="241" t="b">
        <f>AND(F40="No")</f>
        <v>1</v>
      </c>
    </row>
    <row r="45" spans="1:40" ht="15" customHeight="1">
      <c r="A45" s="17"/>
      <c r="B45" s="342" t="s">
        <v>49</v>
      </c>
      <c r="C45" s="21"/>
      <c r="D45" s="21"/>
      <c r="E45" s="62" t="s">
        <v>62</v>
      </c>
      <c r="F45" s="189">
        <v>2.82</v>
      </c>
      <c r="G45" s="172" t="s">
        <v>59</v>
      </c>
      <c r="H45" s="199"/>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103"/>
      <c r="AN45" s="241"/>
    </row>
    <row r="46" spans="1:40" ht="15" customHeight="1">
      <c r="A46" s="17"/>
      <c r="B46" s="342"/>
      <c r="C46" s="21"/>
      <c r="D46" s="21"/>
      <c r="E46" s="62" t="s">
        <v>63</v>
      </c>
      <c r="F46" s="99">
        <f>RsEFF</f>
        <v>1.5</v>
      </c>
      <c r="G46" s="168" t="s">
        <v>54</v>
      </c>
      <c r="H46" s="199"/>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103"/>
      <c r="AN46" s="241"/>
    </row>
    <row r="47" spans="1:40" ht="15" customHeight="1">
      <c r="A47" s="17"/>
      <c r="B47" s="342"/>
      <c r="C47" s="21"/>
      <c r="D47" s="118"/>
      <c r="E47" s="119" t="s">
        <v>64</v>
      </c>
      <c r="F47" s="60">
        <f>CLMIN</f>
        <v>15.6</v>
      </c>
      <c r="G47" s="168" t="s">
        <v>44</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103"/>
      <c r="AN47" s="241"/>
    </row>
    <row r="48" spans="1:40" ht="15" customHeight="1">
      <c r="A48" s="17"/>
      <c r="B48" s="91"/>
      <c r="C48" s="21"/>
      <c r="D48" s="120"/>
      <c r="E48" s="121" t="s">
        <v>65</v>
      </c>
      <c r="F48" s="60">
        <f>CLNOM</f>
        <v>17.333333333333332</v>
      </c>
      <c r="G48" s="168" t="s">
        <v>44</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103"/>
      <c r="AN48" s="241"/>
    </row>
    <row r="49" spans="1:45" ht="15" customHeight="1">
      <c r="A49" s="17"/>
      <c r="B49" s="91"/>
      <c r="C49" s="21"/>
      <c r="D49" s="144"/>
      <c r="E49" s="145" t="s">
        <v>66</v>
      </c>
      <c r="F49" s="60">
        <f>CLMAX</f>
        <v>19.066666666666666</v>
      </c>
      <c r="G49" s="168" t="s">
        <v>44</v>
      </c>
      <c r="H49" s="21"/>
      <c r="I49" s="240"/>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103"/>
      <c r="AN49" s="242" t="s">
        <v>67</v>
      </c>
      <c r="AO49" s="241"/>
      <c r="AP49" s="241"/>
      <c r="AQ49" s="241"/>
      <c r="AR49" s="241"/>
      <c r="AS49" s="241"/>
    </row>
    <row r="50" spans="1:45" ht="15" customHeight="1">
      <c r="A50" s="17"/>
      <c r="B50" s="91"/>
      <c r="C50" s="21"/>
      <c r="D50" s="21"/>
      <c r="E50" s="62" t="s">
        <v>68</v>
      </c>
      <c r="F50" s="44">
        <f>Equations!F16/1000</f>
        <v>0.54530666666666661</v>
      </c>
      <c r="G50" s="168" t="s">
        <v>59</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103"/>
      <c r="AN50" s="242" t="s">
        <v>69</v>
      </c>
      <c r="AO50" s="241"/>
      <c r="AP50" s="241"/>
      <c r="AQ50" s="241"/>
      <c r="AR50" s="241"/>
      <c r="AS50" s="241"/>
    </row>
    <row r="51" spans="1:45" ht="15" customHeight="1">
      <c r="A51" s="17"/>
      <c r="B51" s="91"/>
      <c r="C51" s="21"/>
      <c r="D51" s="21"/>
      <c r="E51" s="62" t="s">
        <v>70</v>
      </c>
      <c r="F51" s="260" t="s">
        <v>67</v>
      </c>
      <c r="G51" s="168"/>
      <c r="H51" s="125"/>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103"/>
      <c r="AN51" s="242" t="s">
        <v>71</v>
      </c>
      <c r="AO51" s="241"/>
      <c r="AP51" s="241"/>
      <c r="AQ51" s="241"/>
      <c r="AR51" s="241"/>
      <c r="AS51" s="241"/>
    </row>
    <row r="52" spans="1:45" ht="15" customHeight="1" thickBot="1">
      <c r="A52" s="17"/>
      <c r="B52" s="92"/>
      <c r="C52" s="93"/>
      <c r="D52" s="93"/>
      <c r="E52" s="135" t="s">
        <v>72</v>
      </c>
      <c r="F52" s="261" t="s">
        <v>71</v>
      </c>
      <c r="G52" s="170"/>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107"/>
      <c r="AN52" s="242" t="s">
        <v>73</v>
      </c>
      <c r="AO52" s="241"/>
      <c r="AP52" s="241"/>
      <c r="AQ52" s="241"/>
      <c r="AR52" s="241"/>
      <c r="AS52" s="241"/>
    </row>
    <row r="53" spans="1:45" ht="15">
      <c r="A53" s="17"/>
      <c r="B53" s="146" t="s">
        <v>74</v>
      </c>
      <c r="C53" s="88"/>
      <c r="D53" s="88"/>
      <c r="E53" s="96" t="s">
        <v>75</v>
      </c>
      <c r="F53" s="299" t="s">
        <v>76</v>
      </c>
      <c r="G53" s="173"/>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124"/>
      <c r="AN53" s="241"/>
      <c r="AO53" s="241"/>
      <c r="AP53" s="241"/>
      <c r="AQ53" s="241"/>
      <c r="AR53" s="241"/>
      <c r="AS53" s="241"/>
    </row>
    <row r="54" spans="1:45" ht="15.75">
      <c r="A54" s="17"/>
      <c r="B54" s="91"/>
      <c r="C54" s="21"/>
      <c r="D54" s="21"/>
      <c r="E54" s="33" t="s">
        <v>77</v>
      </c>
      <c r="F54" s="238">
        <v>50</v>
      </c>
      <c r="G54" s="168" t="s">
        <v>78</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103"/>
      <c r="AN54" s="241">
        <f>((((TJMAX-TAMB)/ThetaJA)/(CLMAX^2))*1000)*NUMFETS^2</f>
        <v>6.3267152427991586</v>
      </c>
      <c r="AO54" s="241">
        <f>((TJMAX-TAMB)/ThetaJA)</f>
        <v>2.2999999999999998</v>
      </c>
      <c r="AP54" s="241"/>
      <c r="AQ54" s="241"/>
      <c r="AR54" s="241"/>
      <c r="AS54" s="241"/>
    </row>
    <row r="55" spans="1:45" ht="12.75">
      <c r="A55" s="17"/>
      <c r="B55" s="91"/>
      <c r="C55" s="21"/>
      <c r="D55" s="21"/>
      <c r="E55" s="33" t="s">
        <v>79</v>
      </c>
      <c r="F55" s="190">
        <v>1</v>
      </c>
      <c r="G55" s="168" t="s">
        <v>80</v>
      </c>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103"/>
      <c r="AN55" s="25" t="s">
        <v>81</v>
      </c>
      <c r="AO55" s="241"/>
      <c r="AP55" s="241"/>
      <c r="AQ55" s="241"/>
      <c r="AR55" s="241"/>
      <c r="AS55" s="241"/>
    </row>
    <row r="56" spans="1:45" ht="15.75" customHeight="1">
      <c r="A56" s="17"/>
      <c r="B56" s="221"/>
      <c r="C56" s="21"/>
      <c r="D56" s="21"/>
      <c r="E56" s="33" t="s">
        <v>82</v>
      </c>
      <c r="F56" s="190">
        <f>2*1.1</f>
        <v>2.2000000000000002</v>
      </c>
      <c r="G56" s="168" t="s">
        <v>54</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103"/>
      <c r="AN56" s="242">
        <f>F56</f>
        <v>2.2000000000000002</v>
      </c>
      <c r="AO56" s="241"/>
      <c r="AP56" s="241"/>
      <c r="AQ56" s="241"/>
      <c r="AR56" s="241"/>
      <c r="AS56" s="241"/>
    </row>
    <row r="57" spans="1:45" ht="14.25">
      <c r="A57" s="17"/>
      <c r="B57" s="220"/>
      <c r="C57" s="21"/>
      <c r="D57" s="21"/>
      <c r="E57" s="33" t="s">
        <v>83</v>
      </c>
      <c r="F57" s="190">
        <v>175</v>
      </c>
      <c r="G57" s="168" t="s">
        <v>48</v>
      </c>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103"/>
      <c r="AN57" s="242">
        <f t="shared" ref="AN57:AN62" si="0">F57</f>
        <v>175</v>
      </c>
      <c r="AO57" s="241"/>
      <c r="AP57" s="241"/>
      <c r="AQ57" s="241"/>
      <c r="AR57" s="241"/>
      <c r="AS57" s="241"/>
    </row>
    <row r="58" spans="1:45" ht="22.15" customHeight="1">
      <c r="A58" s="17"/>
      <c r="B58" s="294"/>
      <c r="C58" s="21"/>
      <c r="D58" s="21"/>
      <c r="E58" s="33" t="s">
        <v>84</v>
      </c>
      <c r="F58" s="190">
        <v>400</v>
      </c>
      <c r="G58" s="168" t="s">
        <v>44</v>
      </c>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103"/>
      <c r="AN58" s="242">
        <f t="shared" si="0"/>
        <v>400</v>
      </c>
      <c r="AO58" s="241"/>
      <c r="AP58" s="241"/>
      <c r="AQ58" s="241"/>
      <c r="AR58" s="241"/>
      <c r="AS58" s="241"/>
    </row>
    <row r="59" spans="1:45" ht="15.75" customHeight="1">
      <c r="A59" s="17"/>
      <c r="B59" s="294"/>
      <c r="C59" s="21"/>
      <c r="D59" s="21"/>
      <c r="E59" s="33" t="s">
        <v>85</v>
      </c>
      <c r="F59" s="190">
        <v>110</v>
      </c>
      <c r="G59" s="168" t="s">
        <v>44</v>
      </c>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103"/>
      <c r="AN59" s="242">
        <f t="shared" si="0"/>
        <v>110</v>
      </c>
      <c r="AO59" s="241"/>
      <c r="AP59" s="241"/>
      <c r="AQ59" s="241"/>
      <c r="AR59" s="241"/>
      <c r="AS59" s="241"/>
    </row>
    <row r="60" spans="1:45" ht="15.75">
      <c r="A60" s="17"/>
      <c r="B60" s="295" t="s">
        <v>74</v>
      </c>
      <c r="C60" s="21"/>
      <c r="D60" s="21"/>
      <c r="E60" s="33" t="s">
        <v>86</v>
      </c>
      <c r="F60" s="190">
        <v>35</v>
      </c>
      <c r="G60" s="168" t="s">
        <v>44</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103"/>
      <c r="AN60" s="242">
        <f t="shared" si="0"/>
        <v>35</v>
      </c>
      <c r="AO60" s="241"/>
      <c r="AP60" s="241"/>
      <c r="AQ60" s="241"/>
      <c r="AR60" s="241"/>
      <c r="AS60" s="318"/>
    </row>
    <row r="61" spans="1:45" ht="15.75" customHeight="1">
      <c r="A61" s="17"/>
      <c r="B61" s="294"/>
      <c r="C61" s="21"/>
      <c r="D61" s="21"/>
      <c r="E61" s="33" t="s">
        <v>87</v>
      </c>
      <c r="F61" s="190" t="s">
        <v>88</v>
      </c>
      <c r="G61" s="168" t="s">
        <v>44</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103"/>
      <c r="AN61" s="242" t="str">
        <f t="shared" si="0"/>
        <v>NA</v>
      </c>
      <c r="AO61" s="241"/>
      <c r="AP61" s="241"/>
      <c r="AQ61" s="241"/>
      <c r="AR61" s="241"/>
      <c r="AS61" s="318"/>
    </row>
    <row r="62" spans="1:45" ht="19.899999999999999" customHeight="1">
      <c r="A62" s="17"/>
      <c r="B62" s="294"/>
      <c r="C62" s="21"/>
      <c r="D62" s="21"/>
      <c r="E62" s="33" t="s">
        <v>89</v>
      </c>
      <c r="F62" s="190">
        <v>18</v>
      </c>
      <c r="G62" s="168" t="s">
        <v>44</v>
      </c>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103"/>
      <c r="AN62" s="242">
        <f t="shared" si="0"/>
        <v>18</v>
      </c>
      <c r="AO62" s="241"/>
      <c r="AP62" s="241"/>
      <c r="AQ62" s="241"/>
      <c r="AR62" s="241"/>
      <c r="AS62" s="318"/>
    </row>
    <row r="63" spans="1:45" ht="15" customHeight="1">
      <c r="A63" s="17"/>
      <c r="B63" s="318" t="s">
        <v>90</v>
      </c>
      <c r="C63" s="21"/>
      <c r="D63" s="21"/>
      <c r="E63" s="33" t="s">
        <v>91</v>
      </c>
      <c r="F63" s="163">
        <f>(IOUTMAX/NUMFETS)^2*RDSON/1000</f>
        <v>0.49500000000000005</v>
      </c>
      <c r="G63" s="168" t="s">
        <v>59</v>
      </c>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103"/>
      <c r="AN63" s="241"/>
      <c r="AO63" s="241"/>
      <c r="AP63" s="241"/>
      <c r="AQ63" s="241"/>
      <c r="AR63" s="241"/>
      <c r="AS63" s="318"/>
    </row>
    <row r="64" spans="1:45" ht="15" customHeight="1">
      <c r="A64" s="17"/>
      <c r="B64" s="318"/>
      <c r="C64" s="21"/>
      <c r="D64" s="21"/>
      <c r="E64" s="33" t="s">
        <v>92</v>
      </c>
      <c r="F64" s="163">
        <f>TAMB+(FETPDISS*ThetaJA)</f>
        <v>84.75</v>
      </c>
      <c r="G64" s="168" t="s">
        <v>48</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103"/>
      <c r="AN64" s="241"/>
      <c r="AO64" s="241"/>
      <c r="AP64" s="241"/>
      <c r="AQ64" s="241"/>
      <c r="AR64" s="241"/>
      <c r="AS64" s="318"/>
    </row>
    <row r="65" spans="1:45" ht="15" customHeight="1">
      <c r="A65" s="17"/>
      <c r="B65" s="318"/>
      <c r="C65" s="21"/>
      <c r="D65" s="21"/>
      <c r="E65" s="62" t="s">
        <v>93</v>
      </c>
      <c r="F65" s="163">
        <f>Equations!F29</f>
        <v>45.333333333333336</v>
      </c>
      <c r="G65" s="168" t="s">
        <v>59</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103"/>
      <c r="AN65" s="241"/>
      <c r="AO65" s="241"/>
      <c r="AP65" s="241"/>
      <c r="AQ65" s="241"/>
      <c r="AR65" s="241"/>
      <c r="AS65" s="318"/>
    </row>
    <row r="66" spans="1:45" ht="15" customHeight="1">
      <c r="A66" s="17"/>
      <c r="B66" s="318"/>
      <c r="C66" s="21"/>
      <c r="D66" s="21"/>
      <c r="E66" s="62" t="s">
        <v>94</v>
      </c>
      <c r="F66" s="262">
        <v>190</v>
      </c>
      <c r="G66" s="168" t="s">
        <v>59</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103"/>
      <c r="AN66" s="241"/>
      <c r="AO66" s="241"/>
      <c r="AP66" s="241"/>
      <c r="AQ66" s="241"/>
      <c r="AR66" s="241"/>
      <c r="AS66" s="318"/>
    </row>
    <row r="67" spans="1:45" ht="15" customHeight="1">
      <c r="A67" s="17"/>
      <c r="B67" s="318"/>
      <c r="C67" s="21"/>
      <c r="D67" s="21"/>
      <c r="E67" s="62" t="s">
        <v>95</v>
      </c>
      <c r="F67" s="143">
        <f>Equations!F31</f>
        <v>34.571428571428577</v>
      </c>
      <c r="G67" s="168" t="s">
        <v>96</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103"/>
      <c r="AN67" s="241"/>
      <c r="AO67" s="241"/>
      <c r="AP67" s="241"/>
      <c r="AQ67" s="241"/>
      <c r="AR67" s="241"/>
      <c r="AS67" s="241"/>
    </row>
    <row r="68" spans="1:45" ht="15" customHeight="1">
      <c r="A68" s="17"/>
      <c r="B68" s="318"/>
      <c r="C68" s="21"/>
      <c r="D68" s="21"/>
      <c r="E68" s="62" t="s">
        <v>97</v>
      </c>
      <c r="F68" s="190">
        <v>34</v>
      </c>
      <c r="G68" s="168" t="s">
        <v>96</v>
      </c>
      <c r="H68" s="21"/>
      <c r="I68" s="340" t="s">
        <v>98</v>
      </c>
      <c r="J68" s="340"/>
      <c r="K68" s="340"/>
      <c r="L68" s="340"/>
      <c r="M68" s="340"/>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103"/>
      <c r="AN68" s="241"/>
      <c r="AO68" s="241"/>
      <c r="AP68" s="241"/>
      <c r="AQ68" s="241"/>
      <c r="AR68" s="241"/>
      <c r="AS68" s="241"/>
    </row>
    <row r="69" spans="1:45" ht="15" customHeight="1" thickBot="1">
      <c r="A69" s="17"/>
      <c r="B69" s="318"/>
      <c r="C69" s="21"/>
      <c r="D69" s="21"/>
      <c r="E69" s="62" t="s">
        <v>99</v>
      </c>
      <c r="F69" s="143">
        <f>Equations!F33</f>
        <v>187.33333333333331</v>
      </c>
      <c r="G69" s="168" t="s">
        <v>59</v>
      </c>
      <c r="H69" s="21"/>
      <c r="I69" s="341"/>
      <c r="J69" s="341"/>
      <c r="K69" s="341"/>
      <c r="L69" s="341"/>
      <c r="M69" s="34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103"/>
      <c r="AN69" s="241"/>
      <c r="AO69" s="241"/>
      <c r="AP69" s="241"/>
      <c r="AQ69" s="241"/>
      <c r="AR69" s="241"/>
      <c r="AS69" s="241"/>
    </row>
    <row r="70" spans="1:45" ht="15">
      <c r="A70" s="17"/>
      <c r="B70" s="146" t="s">
        <v>100</v>
      </c>
      <c r="C70" s="88"/>
      <c r="D70" s="88"/>
      <c r="E70" s="96" t="s">
        <v>101</v>
      </c>
      <c r="F70" s="191">
        <v>12</v>
      </c>
      <c r="G70" s="173" t="s">
        <v>40</v>
      </c>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124"/>
      <c r="AN70" s="242"/>
      <c r="AO70" s="241"/>
      <c r="AP70" s="241"/>
      <c r="AQ70" s="241"/>
      <c r="AR70" s="241"/>
      <c r="AS70" s="241"/>
    </row>
    <row r="71" spans="1:45" ht="12.75">
      <c r="A71" s="17"/>
      <c r="B71" s="97"/>
      <c r="C71" s="21"/>
      <c r="D71" s="21"/>
      <c r="E71" s="33" t="s">
        <v>102</v>
      </c>
      <c r="F71" s="190" t="s">
        <v>103</v>
      </c>
      <c r="G71" s="169"/>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103"/>
      <c r="AN71" s="242"/>
      <c r="AO71" s="241"/>
      <c r="AP71" s="241"/>
      <c r="AQ71" s="241"/>
      <c r="AR71" s="241"/>
      <c r="AS71" s="241"/>
    </row>
    <row r="72" spans="1:45" ht="12.75">
      <c r="A72" s="17"/>
      <c r="B72" s="91"/>
      <c r="C72" s="21"/>
      <c r="D72" s="21"/>
      <c r="E72" s="33" t="s">
        <v>104</v>
      </c>
      <c r="F72" s="190">
        <v>10</v>
      </c>
      <c r="G72" s="169" t="str">
        <f>IF(F71="Constant Current","A","Ohms")</f>
        <v>Ohms</v>
      </c>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103"/>
      <c r="AN72" s="241" t="s">
        <v>105</v>
      </c>
      <c r="AO72" s="241"/>
      <c r="AP72" s="241"/>
      <c r="AQ72" s="241"/>
      <c r="AR72" s="241"/>
      <c r="AS72" s="241"/>
    </row>
    <row r="73" spans="1:45" ht="12.75">
      <c r="A73" s="17"/>
      <c r="B73" s="91"/>
      <c r="C73" s="21"/>
      <c r="D73" s="21"/>
      <c r="E73" s="62" t="s">
        <v>106</v>
      </c>
      <c r="F73" s="189" t="s">
        <v>28</v>
      </c>
      <c r="G73" s="169"/>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103"/>
      <c r="AN73" s="241" t="s">
        <v>103</v>
      </c>
      <c r="AO73" s="241"/>
      <c r="AP73" s="241"/>
      <c r="AQ73" s="241"/>
      <c r="AR73" s="241"/>
      <c r="AS73" s="241"/>
    </row>
    <row r="74" spans="1:45" ht="12.75">
      <c r="A74" s="17"/>
      <c r="B74" s="91"/>
      <c r="C74" s="21"/>
      <c r="D74" s="21"/>
      <c r="E74" s="33" t="s">
        <v>107</v>
      </c>
      <c r="F74" s="51">
        <f>Start_up!M2</f>
        <v>39.949999999999996</v>
      </c>
      <c r="G74" s="168" t="s">
        <v>108</v>
      </c>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103"/>
      <c r="AN74" s="242"/>
      <c r="AO74" s="241"/>
      <c r="AP74" s="241"/>
      <c r="AQ74" s="241"/>
      <c r="AR74" s="241"/>
      <c r="AS74" s="241"/>
    </row>
    <row r="75" spans="1:45" ht="12.75">
      <c r="A75" s="17"/>
      <c r="B75" s="91"/>
      <c r="C75" s="21"/>
      <c r="D75" s="21"/>
      <c r="E75" s="33" t="s">
        <v>109</v>
      </c>
      <c r="F75" s="159">
        <f>Start_up!O2</f>
        <v>0.72047357282152003</v>
      </c>
      <c r="G75" s="168"/>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103"/>
      <c r="AN75" s="242"/>
      <c r="AO75" s="241"/>
      <c r="AP75" s="241"/>
      <c r="AQ75" s="241"/>
      <c r="AR75" s="241"/>
      <c r="AS75" s="241"/>
    </row>
    <row r="76" spans="1:45" ht="13.15" customHeight="1">
      <c r="A76" s="17"/>
      <c r="B76" s="97"/>
      <c r="C76" s="21"/>
      <c r="D76" s="114"/>
      <c r="E76" s="164" t="s">
        <v>110</v>
      </c>
      <c r="F76" s="51">
        <f>Equations!F46</f>
        <v>59.924999999999997</v>
      </c>
      <c r="G76" s="169" t="s">
        <v>108</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103"/>
      <c r="AN76" s="241"/>
      <c r="AO76" s="241"/>
      <c r="AP76" s="241"/>
      <c r="AQ76" s="241"/>
      <c r="AR76" s="241"/>
      <c r="AS76" s="241"/>
    </row>
    <row r="77" spans="1:45" ht="12.6" customHeight="1">
      <c r="A77" s="17"/>
      <c r="B77" s="91"/>
      <c r="C77" s="21"/>
      <c r="D77" s="114"/>
      <c r="E77" s="165" t="s">
        <v>111</v>
      </c>
      <c r="F77" s="51">
        <f>Equations!F47</f>
        <v>1152.403846153846</v>
      </c>
      <c r="G77" s="168" t="s">
        <v>112</v>
      </c>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103"/>
      <c r="AN77" s="241"/>
      <c r="AO77" s="241"/>
      <c r="AP77" s="241"/>
      <c r="AQ77" s="241"/>
      <c r="AR77" s="241"/>
      <c r="AS77" s="241"/>
    </row>
    <row r="78" spans="1:45" ht="15" customHeight="1">
      <c r="A78" s="17"/>
      <c r="B78" s="91"/>
      <c r="C78" s="21"/>
      <c r="D78" s="114"/>
      <c r="E78" s="165" t="s">
        <v>113</v>
      </c>
      <c r="F78" s="190">
        <v>412</v>
      </c>
      <c r="G78" s="168" t="s">
        <v>112</v>
      </c>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103"/>
      <c r="AN78" s="241"/>
      <c r="AO78" s="241"/>
      <c r="AP78" s="241"/>
      <c r="AQ78" s="241"/>
      <c r="AR78" s="241"/>
      <c r="AS78" s="241"/>
    </row>
    <row r="79" spans="1:45" ht="15" customHeight="1">
      <c r="A79" s="17"/>
      <c r="B79" s="296" t="s">
        <v>100</v>
      </c>
      <c r="C79" s="21"/>
      <c r="D79" s="114"/>
      <c r="E79" s="165" t="s">
        <v>114</v>
      </c>
      <c r="F79" s="51">
        <f>Equations!F49</f>
        <v>21.423999999999999</v>
      </c>
      <c r="G79" s="168" t="s">
        <v>108</v>
      </c>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103"/>
      <c r="AN79" s="241"/>
      <c r="AO79" s="241"/>
      <c r="AP79" s="241"/>
      <c r="AQ79" s="241"/>
      <c r="AR79" s="241"/>
      <c r="AS79" s="241"/>
    </row>
    <row r="80" spans="1:45" ht="15" customHeight="1">
      <c r="A80" s="17"/>
      <c r="B80" s="91"/>
      <c r="C80" s="21"/>
      <c r="D80" s="114"/>
      <c r="E80" s="165" t="s">
        <v>115</v>
      </c>
      <c r="F80" s="51">
        <f>Equations!F50</f>
        <v>8.6658294490445353</v>
      </c>
      <c r="G80" s="168"/>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103"/>
      <c r="AN80" s="241"/>
      <c r="AO80" s="241"/>
      <c r="AP80" s="241"/>
      <c r="AQ80" s="241"/>
      <c r="AR80" s="241"/>
      <c r="AS80" s="241"/>
    </row>
    <row r="81" spans="1:40" ht="15" customHeight="1">
      <c r="A81" s="17"/>
      <c r="B81" s="91"/>
      <c r="C81" s="21"/>
      <c r="D81" s="114"/>
      <c r="E81" s="165" t="s">
        <v>116</v>
      </c>
      <c r="F81" s="189" t="s">
        <v>28</v>
      </c>
      <c r="G81" s="168"/>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103"/>
      <c r="AN81" s="241"/>
    </row>
    <row r="82" spans="1:40" ht="15" customHeight="1">
      <c r="A82" s="17"/>
      <c r="B82" s="91"/>
      <c r="C82" s="21"/>
      <c r="D82" s="114"/>
      <c r="E82" s="165" t="s">
        <v>117</v>
      </c>
      <c r="F82" s="51">
        <f>dv_dt_recommendations!J28</f>
        <v>2.4648433285578175</v>
      </c>
      <c r="G82" s="168" t="s">
        <v>118</v>
      </c>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103"/>
      <c r="AN82" s="241"/>
    </row>
    <row r="83" spans="1:40" ht="15" customHeight="1">
      <c r="A83" s="17"/>
      <c r="B83" s="91"/>
      <c r="C83" s="21"/>
      <c r="D83" s="114"/>
      <c r="E83" s="165" t="s">
        <v>119</v>
      </c>
      <c r="F83" s="51">
        <f>dv_dt_recommendations!J29</f>
        <v>0.10708559822108767</v>
      </c>
      <c r="G83" s="168" t="s">
        <v>118</v>
      </c>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103"/>
      <c r="AN83" s="241"/>
    </row>
    <row r="84" spans="1:40" ht="15" customHeight="1">
      <c r="A84" s="17"/>
      <c r="B84" s="91"/>
      <c r="C84" s="21"/>
      <c r="D84" s="114"/>
      <c r="E84" s="30" t="s">
        <v>120</v>
      </c>
      <c r="F84" s="190">
        <v>0.5</v>
      </c>
      <c r="G84" s="168" t="s">
        <v>118</v>
      </c>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103"/>
      <c r="AN84" s="241"/>
    </row>
    <row r="85" spans="1:40" ht="15" customHeight="1">
      <c r="A85" s="17"/>
      <c r="B85" s="91"/>
      <c r="C85" s="21"/>
      <c r="D85" s="114"/>
      <c r="E85" s="30" t="s">
        <v>121</v>
      </c>
      <c r="F85" s="51">
        <f>Equations!F53</f>
        <v>40</v>
      </c>
      <c r="G85" s="166" t="s">
        <v>112</v>
      </c>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103"/>
      <c r="AN85" s="241"/>
    </row>
    <row r="86" spans="1:40" ht="15" customHeight="1">
      <c r="A86" s="17"/>
      <c r="B86" s="326" t="s">
        <v>122</v>
      </c>
      <c r="C86" s="327"/>
      <c r="D86" s="114"/>
      <c r="E86" s="30" t="s">
        <v>123</v>
      </c>
      <c r="F86" s="190">
        <v>47</v>
      </c>
      <c r="G86" s="168" t="s">
        <v>112</v>
      </c>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103"/>
      <c r="AN86" s="241"/>
    </row>
    <row r="87" spans="1:40" ht="15" customHeight="1">
      <c r="A87" s="17"/>
      <c r="B87" s="326"/>
      <c r="C87" s="327"/>
      <c r="D87" s="114"/>
      <c r="E87" s="30" t="s">
        <v>124</v>
      </c>
      <c r="F87" s="51">
        <f>Equations!F55</f>
        <v>0.42553191489361702</v>
      </c>
      <c r="G87" s="168" t="s">
        <v>118</v>
      </c>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103"/>
      <c r="AN87" s="241"/>
    </row>
    <row r="88" spans="1:40" ht="16.899999999999999" customHeight="1">
      <c r="A88" s="17"/>
      <c r="B88" s="326"/>
      <c r="C88" s="327"/>
      <c r="D88" s="114"/>
      <c r="E88" s="30" t="s">
        <v>125</v>
      </c>
      <c r="F88" s="51">
        <f>Equations!F62</f>
        <v>4.7599072605490607</v>
      </c>
      <c r="G88" s="168"/>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103"/>
      <c r="AN88" s="241"/>
    </row>
    <row r="89" spans="1:40" ht="16.899999999999999" customHeight="1">
      <c r="A89" s="17"/>
      <c r="B89" s="326"/>
      <c r="C89" s="327"/>
      <c r="D89" s="114"/>
      <c r="E89" s="30" t="s">
        <v>126</v>
      </c>
      <c r="F89" s="190">
        <v>0.52</v>
      </c>
      <c r="G89" s="168" t="s">
        <v>108</v>
      </c>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103"/>
      <c r="AN89" s="241"/>
    </row>
    <row r="90" spans="1:40" ht="16.899999999999999" customHeight="1">
      <c r="A90" s="17"/>
      <c r="B90" s="326"/>
      <c r="C90" s="327"/>
      <c r="D90" s="114"/>
      <c r="E90" s="30" t="s">
        <v>127</v>
      </c>
      <c r="F90" s="51">
        <f>Equations!F67</f>
        <v>10</v>
      </c>
      <c r="G90" s="168" t="s">
        <v>112</v>
      </c>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103"/>
      <c r="AN90" s="241"/>
    </row>
    <row r="91" spans="1:40" ht="16.899999999999999" customHeight="1">
      <c r="A91" s="17"/>
      <c r="B91" s="91"/>
      <c r="C91" s="21"/>
      <c r="D91" s="114"/>
      <c r="E91" s="183" t="s">
        <v>128</v>
      </c>
      <c r="F91" s="190">
        <v>10</v>
      </c>
      <c r="G91" s="168" t="s">
        <v>112</v>
      </c>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103"/>
      <c r="AN91" s="241"/>
    </row>
    <row r="92" spans="1:40" ht="15" customHeight="1">
      <c r="A92" s="17"/>
      <c r="B92" s="91"/>
      <c r="C92" s="21"/>
      <c r="D92" s="114"/>
      <c r="E92" s="165" t="s">
        <v>129</v>
      </c>
      <c r="F92" s="51">
        <f>Equations!F69</f>
        <v>0.52</v>
      </c>
      <c r="G92" s="168" t="s">
        <v>108</v>
      </c>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108" t="s">
        <v>130</v>
      </c>
      <c r="AN92" s="241"/>
    </row>
    <row r="93" spans="1:40" ht="15" customHeight="1">
      <c r="A93" s="17"/>
      <c r="B93" s="91"/>
      <c r="C93" s="21"/>
      <c r="D93" s="114"/>
      <c r="E93" s="165" t="s">
        <v>131</v>
      </c>
      <c r="F93" s="51">
        <f>Equations!F71</f>
        <v>8.6658294490445353</v>
      </c>
      <c r="G93" s="169"/>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108"/>
      <c r="AN93" s="241"/>
    </row>
    <row r="94" spans="1:40" ht="14.65" customHeight="1">
      <c r="A94" s="17"/>
      <c r="B94" s="91"/>
      <c r="C94" s="21"/>
      <c r="D94" s="114"/>
      <c r="E94" s="164" t="s">
        <v>132</v>
      </c>
      <c r="F94" s="58">
        <f>Equations!F98</f>
        <v>8.125</v>
      </c>
      <c r="G94" s="169" t="s">
        <v>108</v>
      </c>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103"/>
      <c r="AN94" s="241"/>
    </row>
    <row r="95" spans="1:40" ht="15" customHeight="1" thickBot="1">
      <c r="A95" s="17"/>
      <c r="B95" s="91"/>
      <c r="C95" s="21"/>
      <c r="D95" s="114"/>
      <c r="E95" s="164" t="s">
        <v>133</v>
      </c>
      <c r="F95" s="51">
        <f>Equations!F101</f>
        <v>82.877142857142871</v>
      </c>
      <c r="G95" s="168" t="s">
        <v>108</v>
      </c>
      <c r="H95" s="125"/>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103"/>
      <c r="AN95" s="241"/>
    </row>
    <row r="96" spans="1:40" ht="15" customHeight="1">
      <c r="A96" s="17"/>
      <c r="B96" s="146" t="s">
        <v>134</v>
      </c>
      <c r="C96" s="138"/>
      <c r="D96" s="88"/>
      <c r="E96" s="102" t="s">
        <v>135</v>
      </c>
      <c r="F96" s="191" t="s">
        <v>136</v>
      </c>
      <c r="G96" s="174"/>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124"/>
      <c r="AN96" s="242" t="s">
        <v>136</v>
      </c>
    </row>
    <row r="97" spans="1:40" ht="15" customHeight="1">
      <c r="A97" s="17"/>
      <c r="B97" s="91"/>
      <c r="C97" s="21"/>
      <c r="D97" s="21"/>
      <c r="E97" s="62" t="s">
        <v>137</v>
      </c>
      <c r="F97" s="192">
        <v>11.5</v>
      </c>
      <c r="G97" s="175" t="s">
        <v>40</v>
      </c>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103"/>
      <c r="AN97" s="242" t="s">
        <v>138</v>
      </c>
    </row>
    <row r="98" spans="1:40" ht="15" customHeight="1">
      <c r="A98" s="17"/>
      <c r="B98" s="91"/>
      <c r="C98" s="21"/>
      <c r="D98" s="21"/>
      <c r="E98" s="62" t="s">
        <v>139</v>
      </c>
      <c r="F98" s="192">
        <v>11</v>
      </c>
      <c r="G98" s="175" t="s">
        <v>40</v>
      </c>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103"/>
      <c r="AN98" s="241" t="s">
        <v>140</v>
      </c>
    </row>
    <row r="99" spans="1:40" ht="15" customHeight="1">
      <c r="A99" s="17"/>
      <c r="B99" s="91"/>
      <c r="C99" s="21"/>
      <c r="D99" s="21"/>
      <c r="E99" s="62" t="s">
        <v>141</v>
      </c>
      <c r="F99" s="192">
        <v>17.5</v>
      </c>
      <c r="G99" s="175" t="s">
        <v>40</v>
      </c>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103"/>
      <c r="AN99" s="241" t="s">
        <v>142</v>
      </c>
    </row>
    <row r="100" spans="1:40" ht="15" customHeight="1">
      <c r="A100" s="17"/>
      <c r="B100" s="91"/>
      <c r="C100" s="21"/>
      <c r="D100" s="21"/>
      <c r="E100" s="113" t="s">
        <v>143</v>
      </c>
      <c r="F100" s="192">
        <v>63</v>
      </c>
      <c r="G100" s="175" t="s">
        <v>40</v>
      </c>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103"/>
      <c r="AN100" s="241"/>
    </row>
    <row r="101" spans="1:40" ht="15" customHeight="1">
      <c r="A101" s="17"/>
      <c r="B101" s="91"/>
      <c r="C101" s="21"/>
      <c r="D101" s="21"/>
      <c r="E101" s="112" t="s">
        <v>144</v>
      </c>
      <c r="F101" s="56">
        <f>IF(F96="Option A",Equations!F119,Equations!G119)</f>
        <v>25</v>
      </c>
      <c r="G101" s="175" t="s">
        <v>96</v>
      </c>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103"/>
      <c r="AN101" s="241"/>
    </row>
    <row r="102" spans="1:40" ht="15" customHeight="1">
      <c r="A102" s="17"/>
      <c r="B102" s="91"/>
      <c r="C102" s="21"/>
      <c r="D102" s="21"/>
      <c r="E102" s="111" t="s">
        <v>145</v>
      </c>
      <c r="F102" s="56">
        <f>IF(F96="Option A",Equations!F120,Equations!G120)</f>
        <v>2.7397719651240786</v>
      </c>
      <c r="G102" s="175" t="s">
        <v>96</v>
      </c>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103"/>
      <c r="AN102" s="241"/>
    </row>
    <row r="103" spans="1:40" ht="15" customHeight="1">
      <c r="A103" s="17"/>
      <c r="B103" s="297" t="s">
        <v>134</v>
      </c>
      <c r="C103" s="21"/>
      <c r="D103" s="21"/>
      <c r="E103" s="111" t="s">
        <v>146</v>
      </c>
      <c r="F103" s="56">
        <f>IF(F96="Option A",Equations!F121,Equations!G121)</f>
        <v>4.5372233400402413</v>
      </c>
      <c r="G103" s="175" t="s">
        <v>96</v>
      </c>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103"/>
      <c r="AN103" s="241"/>
    </row>
    <row r="104" spans="1:40" ht="15" customHeight="1">
      <c r="A104" s="17"/>
      <c r="B104" s="91"/>
      <c r="C104" s="21"/>
      <c r="D104" s="21"/>
      <c r="E104" s="111" t="s">
        <v>147</v>
      </c>
      <c r="F104" s="56">
        <f>IF(F96="Option A",Equations!F122,Equations!G122)</f>
        <v>0</v>
      </c>
      <c r="G104" s="175" t="s">
        <v>96</v>
      </c>
      <c r="H104" s="21"/>
      <c r="I104" s="21"/>
      <c r="J104" s="106"/>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103"/>
      <c r="AN104" s="241"/>
    </row>
    <row r="105" spans="1:40" ht="15" customHeight="1">
      <c r="A105" s="17"/>
      <c r="B105" s="91"/>
      <c r="C105" s="21"/>
      <c r="D105" s="21"/>
      <c r="E105" s="62" t="s">
        <v>148</v>
      </c>
      <c r="F105" s="192">
        <v>25</v>
      </c>
      <c r="G105" s="175" t="s">
        <v>96</v>
      </c>
      <c r="H105" s="21"/>
      <c r="I105" s="21"/>
      <c r="J105" s="106"/>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103"/>
      <c r="AN105" s="241"/>
    </row>
    <row r="106" spans="1:40" ht="15" customHeight="1">
      <c r="A106" s="17"/>
      <c r="B106" s="91"/>
      <c r="C106" s="21"/>
      <c r="D106" s="21"/>
      <c r="E106" s="62" t="s">
        <v>149</v>
      </c>
      <c r="F106" s="192">
        <v>2.74</v>
      </c>
      <c r="G106" s="175" t="s">
        <v>96</v>
      </c>
      <c r="H106" s="21"/>
      <c r="I106" s="21"/>
      <c r="J106" s="106"/>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103"/>
      <c r="AN106" s="241"/>
    </row>
    <row r="107" spans="1:40" ht="15" customHeight="1">
      <c r="A107" s="17"/>
      <c r="B107" s="91"/>
      <c r="C107" s="21"/>
      <c r="D107" s="21"/>
      <c r="E107" s="62" t="s">
        <v>150</v>
      </c>
      <c r="F107" s="192">
        <v>4.54</v>
      </c>
      <c r="G107" s="175" t="s">
        <v>96</v>
      </c>
      <c r="H107" s="21"/>
      <c r="I107" s="21"/>
      <c r="J107" s="106"/>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103"/>
      <c r="AN107" s="241"/>
    </row>
    <row r="108" spans="1:40" ht="15" customHeight="1">
      <c r="A108" s="17"/>
      <c r="B108" s="91"/>
      <c r="C108" s="21"/>
      <c r="D108" s="21"/>
      <c r="E108" s="62" t="s">
        <v>151</v>
      </c>
      <c r="F108" s="192">
        <v>3.74</v>
      </c>
      <c r="G108" s="175" t="s">
        <v>96</v>
      </c>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103"/>
      <c r="AN108" s="241"/>
    </row>
    <row r="109" spans="1:40" ht="15" customHeight="1">
      <c r="A109" s="17"/>
      <c r="B109" s="91"/>
      <c r="C109" s="21"/>
      <c r="D109" s="21"/>
      <c r="E109" s="21"/>
      <c r="F109" s="21"/>
      <c r="G109" s="176"/>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103"/>
      <c r="AN109" s="241"/>
    </row>
    <row r="110" spans="1:40" ht="15" customHeight="1" thickBot="1">
      <c r="A110" s="17"/>
      <c r="B110" s="91"/>
      <c r="C110" s="104" t="s">
        <v>152</v>
      </c>
      <c r="D110" s="105" t="s">
        <v>153</v>
      </c>
      <c r="E110" s="105" t="s">
        <v>154</v>
      </c>
      <c r="F110" s="105" t="s">
        <v>155</v>
      </c>
      <c r="G110" s="176"/>
      <c r="H110" s="114"/>
      <c r="I110" s="114"/>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103"/>
      <c r="AN110" s="241"/>
    </row>
    <row r="111" spans="1:40" ht="15" customHeight="1">
      <c r="A111" s="17"/>
      <c r="B111" s="91"/>
      <c r="C111" s="33" t="s">
        <v>156</v>
      </c>
      <c r="D111" s="47">
        <f>IF($F$96="Option A",Equations!F123,Equations!G123)</f>
        <v>11.086098901098902</v>
      </c>
      <c r="E111" s="48">
        <f>IF($F$96="Option A",Equations!F124,Equations!G124)</f>
        <v>11.496483516483517</v>
      </c>
      <c r="F111" s="49">
        <f>IF($F$96="Option A",Equations!F125,Equations!G125)</f>
        <v>11.90686813186813</v>
      </c>
      <c r="G111" s="175" t="s">
        <v>40</v>
      </c>
      <c r="H111" s="114"/>
      <c r="I111" s="114"/>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103"/>
      <c r="AN111" s="241"/>
    </row>
    <row r="112" spans="1:40" ht="15" customHeight="1">
      <c r="A112" s="17"/>
      <c r="B112" s="91"/>
      <c r="C112" s="33" t="s">
        <v>157</v>
      </c>
      <c r="D112" s="50">
        <f>IF($F$96="Option A",Equations!F126,Equations!G126)</f>
        <v>10.686098901098902</v>
      </c>
      <c r="E112" s="51">
        <f>IF($F$96="Option A",Equations!F127,Equations!G127)</f>
        <v>10.996483516483517</v>
      </c>
      <c r="F112" s="52">
        <f>IF($F$96="Option A",Equations!F128,Equations!G128)</f>
        <v>11.30686813186813</v>
      </c>
      <c r="G112" s="175" t="s">
        <v>40</v>
      </c>
      <c r="H112" s="114"/>
      <c r="I112" s="114"/>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103"/>
      <c r="AN112" s="241"/>
    </row>
    <row r="113" spans="1:39" ht="15" customHeight="1">
      <c r="A113" s="17"/>
      <c r="B113" s="91"/>
      <c r="C113" s="33" t="s">
        <v>158</v>
      </c>
      <c r="D113" s="50">
        <f>IF($F$96="Option A",Equations!F129,Equations!G129)</f>
        <v>16.993215859030837</v>
      </c>
      <c r="E113" s="51">
        <f>IF($F$96="Option A",Equations!F130,Equations!G130)</f>
        <v>17.490925110132157</v>
      </c>
      <c r="F113" s="52">
        <f>IF($F$96="Option A",Equations!F131,Equations!G131)</f>
        <v>17.98863436123348</v>
      </c>
      <c r="G113" s="175" t="s">
        <v>40</v>
      </c>
      <c r="H113" s="114"/>
      <c r="I113" s="114"/>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103"/>
    </row>
    <row r="114" spans="1:39" ht="15" customHeight="1" thickBot="1">
      <c r="A114" s="17"/>
      <c r="B114" s="91"/>
      <c r="C114" s="33" t="s">
        <v>159</v>
      </c>
      <c r="D114" s="53">
        <f>IF($F$96="Option A",Equations!F132,Equations!G132)</f>
        <v>16.327455859030838</v>
      </c>
      <c r="E114" s="54">
        <f>IF($F$96="Option A",Equations!F133,Equations!G133)</f>
        <v>16.908385110132159</v>
      </c>
      <c r="F114" s="55">
        <f>IF($F$96="Option A",Equations!F134,Equations!G134)</f>
        <v>17.544794361233482</v>
      </c>
      <c r="G114" s="175" t="s">
        <v>40</v>
      </c>
      <c r="H114" s="114"/>
      <c r="I114" s="114"/>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103"/>
    </row>
    <row r="115" spans="1:39" ht="15" customHeight="1">
      <c r="A115" s="17"/>
      <c r="B115" s="91"/>
      <c r="C115" s="324" t="s">
        <v>160</v>
      </c>
      <c r="D115" s="324"/>
      <c r="E115" s="324"/>
      <c r="F115" s="324"/>
      <c r="G115" s="325"/>
      <c r="H115" s="114"/>
      <c r="I115" s="114"/>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103"/>
    </row>
    <row r="116" spans="1:39" ht="15" customHeight="1">
      <c r="A116" s="17"/>
      <c r="B116" s="91"/>
      <c r="C116" s="324"/>
      <c r="D116" s="324"/>
      <c r="E116" s="324"/>
      <c r="F116" s="324"/>
      <c r="G116" s="325"/>
      <c r="H116" s="114"/>
      <c r="I116" s="114"/>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103"/>
    </row>
    <row r="117" spans="1:39" ht="15" customHeight="1">
      <c r="A117" s="17"/>
      <c r="B117" s="91"/>
      <c r="C117" s="324"/>
      <c r="D117" s="324"/>
      <c r="E117" s="324"/>
      <c r="F117" s="324"/>
      <c r="G117" s="325"/>
      <c r="H117" s="114"/>
      <c r="I117" s="114"/>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103"/>
    </row>
    <row r="118" spans="1:39" ht="15" customHeight="1">
      <c r="A118" s="17"/>
      <c r="B118" s="90"/>
      <c r="C118" s="21"/>
      <c r="D118" s="21"/>
      <c r="E118" s="33" t="s">
        <v>161</v>
      </c>
      <c r="F118" s="193">
        <v>10</v>
      </c>
      <c r="G118" s="177" t="s">
        <v>96</v>
      </c>
      <c r="H118" s="21"/>
      <c r="I118" s="240"/>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103"/>
    </row>
    <row r="119" spans="1:39" ht="15" customHeight="1">
      <c r="A119" s="17"/>
      <c r="B119" s="91"/>
      <c r="C119" s="21"/>
      <c r="D119" s="21"/>
      <c r="E119" s="33" t="s">
        <v>162</v>
      </c>
      <c r="F119" s="193">
        <v>38</v>
      </c>
      <c r="G119" s="177" t="s">
        <v>40</v>
      </c>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103"/>
    </row>
    <row r="120" spans="1:39" ht="15" customHeight="1">
      <c r="A120" s="17"/>
      <c r="B120" s="91"/>
      <c r="C120" s="21"/>
      <c r="D120" s="21"/>
      <c r="E120" s="33" t="s">
        <v>163</v>
      </c>
      <c r="F120" s="193">
        <v>3</v>
      </c>
      <c r="G120" s="177" t="s">
        <v>40</v>
      </c>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103"/>
    </row>
    <row r="121" spans="1:39" ht="15" customHeight="1">
      <c r="A121" s="17"/>
      <c r="B121" s="91"/>
      <c r="C121" s="21"/>
      <c r="D121" s="21"/>
      <c r="E121" s="117" t="s">
        <v>164</v>
      </c>
      <c r="F121" s="59">
        <f>F120/('Device Parameters'!D52/1000)</f>
        <v>150</v>
      </c>
      <c r="G121" s="177" t="s">
        <v>96</v>
      </c>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103"/>
    </row>
    <row r="122" spans="1:39" ht="15" customHeight="1">
      <c r="A122" s="17"/>
      <c r="B122" s="91"/>
      <c r="C122" s="21"/>
      <c r="D122" s="21"/>
      <c r="E122" s="117" t="s">
        <v>165</v>
      </c>
      <c r="F122" s="136">
        <f>F121*'Device Parameters'!D51/(F119-'Device Parameters'!D51)</f>
        <v>10.382667416994936</v>
      </c>
      <c r="G122" s="177" t="s">
        <v>96</v>
      </c>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103"/>
    </row>
    <row r="123" spans="1:39" ht="15" customHeight="1">
      <c r="A123" s="17"/>
      <c r="B123" s="91"/>
      <c r="C123" s="21"/>
      <c r="D123" s="21"/>
      <c r="E123" s="33" t="s">
        <v>166</v>
      </c>
      <c r="F123" s="193">
        <v>150</v>
      </c>
      <c r="G123" s="177" t="s">
        <v>96</v>
      </c>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103"/>
    </row>
    <row r="124" spans="1:39" ht="15" customHeight="1">
      <c r="A124" s="17"/>
      <c r="B124" s="91"/>
      <c r="C124" s="21"/>
      <c r="D124" s="21"/>
      <c r="E124" s="117" t="s">
        <v>165</v>
      </c>
      <c r="F124" s="193">
        <v>10.5</v>
      </c>
      <c r="G124" s="177" t="s">
        <v>96</v>
      </c>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103"/>
    </row>
    <row r="125" spans="1:39" ht="15" customHeight="1">
      <c r="A125" s="17"/>
      <c r="B125" s="91"/>
      <c r="C125" s="21"/>
      <c r="D125" s="21"/>
      <c r="E125" s="117" t="s">
        <v>167</v>
      </c>
      <c r="F125" s="136">
        <f>Equations!F104</f>
        <v>37.602857142857147</v>
      </c>
      <c r="G125" s="177" t="s">
        <v>40</v>
      </c>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103"/>
    </row>
    <row r="126" spans="1:39" ht="15" customHeight="1" thickBot="1">
      <c r="A126" s="17"/>
      <c r="B126" s="91"/>
      <c r="C126" s="93"/>
      <c r="D126" s="93"/>
      <c r="E126" s="117" t="s">
        <v>168</v>
      </c>
      <c r="F126" s="140">
        <f>Equations!F107/1000</f>
        <v>3</v>
      </c>
      <c r="G126" s="177" t="s">
        <v>40</v>
      </c>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107"/>
    </row>
    <row r="127" spans="1:39" ht="18.75" customHeight="1">
      <c r="A127" s="17"/>
      <c r="B127" s="146" t="s">
        <v>169</v>
      </c>
      <c r="C127" s="88"/>
      <c r="D127" s="88"/>
      <c r="E127" s="126" t="s">
        <v>170</v>
      </c>
      <c r="F127" s="101">
        <f>Rs</f>
        <v>1.5</v>
      </c>
      <c r="G127" s="298" t="s">
        <v>54</v>
      </c>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124"/>
    </row>
    <row r="128" spans="1:39" ht="15" customHeight="1">
      <c r="A128" s="17"/>
      <c r="B128" s="90"/>
      <c r="C128" s="21"/>
      <c r="D128" s="21"/>
      <c r="E128" s="109" t="s">
        <v>171</v>
      </c>
      <c r="F128" s="110" t="str">
        <f>IF(F40="No", "DNP",RDIV1)</f>
        <v>DNP</v>
      </c>
      <c r="G128" s="178" t="s">
        <v>59</v>
      </c>
      <c r="H128" s="21"/>
      <c r="I128" s="21"/>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47"/>
    </row>
    <row r="129" spans="1:39" ht="14.25" customHeight="1" thickBot="1">
      <c r="A129" s="17"/>
      <c r="B129" s="90"/>
      <c r="C129" s="21"/>
      <c r="D129" s="21"/>
      <c r="E129" s="109" t="s">
        <v>172</v>
      </c>
      <c r="F129" s="110">
        <f>IF(F40="No",0,RDIV2)</f>
        <v>0</v>
      </c>
      <c r="G129" s="178" t="s">
        <v>59</v>
      </c>
      <c r="H129" s="21"/>
      <c r="I129" s="21"/>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47"/>
    </row>
    <row r="130" spans="1:39" ht="15" customHeight="1">
      <c r="A130" s="17"/>
      <c r="B130" s="91"/>
      <c r="C130" s="21"/>
      <c r="D130" s="21"/>
      <c r="E130" s="61" t="s">
        <v>173</v>
      </c>
      <c r="F130" s="41">
        <f>F68</f>
        <v>34</v>
      </c>
      <c r="G130" s="179" t="s">
        <v>96</v>
      </c>
      <c r="H130" s="21"/>
      <c r="I130" s="247"/>
      <c r="J130" s="248"/>
      <c r="K130" s="249" t="s">
        <v>174</v>
      </c>
      <c r="L130" s="250" t="s">
        <v>175</v>
      </c>
      <c r="M130" s="240"/>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30"/>
    </row>
    <row r="131" spans="1:39" ht="15" customHeight="1">
      <c r="A131" s="17"/>
      <c r="B131" s="91"/>
      <c r="C131" s="21"/>
      <c r="D131" s="21"/>
      <c r="E131" s="62" t="s">
        <v>176</v>
      </c>
      <c r="F131" s="51">
        <f>IF(F73="YES", F91, F78)</f>
        <v>10</v>
      </c>
      <c r="G131" s="179" t="s">
        <v>112</v>
      </c>
      <c r="H131" s="21"/>
      <c r="I131" s="251"/>
      <c r="J131" s="244" t="s">
        <v>177</v>
      </c>
      <c r="K131" s="137">
        <f>F48</f>
        <v>17.333333333333332</v>
      </c>
      <c r="L131" s="252" t="s">
        <v>44</v>
      </c>
      <c r="M131" s="240"/>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108"/>
    </row>
    <row r="132" spans="1:39" ht="15" customHeight="1">
      <c r="A132" s="17"/>
      <c r="B132" s="91"/>
      <c r="C132" s="21"/>
      <c r="D132" s="21"/>
      <c r="E132" s="61" t="s">
        <v>178</v>
      </c>
      <c r="F132" s="42">
        <f>F105</f>
        <v>25</v>
      </c>
      <c r="G132" s="179" t="s">
        <v>96</v>
      </c>
      <c r="H132" s="21"/>
      <c r="I132" s="251"/>
      <c r="J132" s="244" t="s">
        <v>179</v>
      </c>
      <c r="K132" s="132">
        <f>F69</f>
        <v>187.33333333333331</v>
      </c>
      <c r="L132" s="252" t="s">
        <v>59</v>
      </c>
      <c r="M132" s="240"/>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108"/>
    </row>
    <row r="133" spans="1:39" ht="15" customHeight="1">
      <c r="A133" s="17"/>
      <c r="B133" s="91"/>
      <c r="C133" s="21"/>
      <c r="D133" s="21"/>
      <c r="E133" s="61" t="s">
        <v>180</v>
      </c>
      <c r="F133" s="42">
        <f>F106</f>
        <v>2.74</v>
      </c>
      <c r="G133" s="179" t="s">
        <v>96</v>
      </c>
      <c r="H133" s="21"/>
      <c r="I133" s="251"/>
      <c r="J133" s="245" t="s">
        <v>181</v>
      </c>
      <c r="K133" s="137">
        <f>Equations!F20</f>
        <v>32.93333333333333</v>
      </c>
      <c r="L133" s="252" t="s">
        <v>44</v>
      </c>
      <c r="M133" s="240"/>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108"/>
    </row>
    <row r="134" spans="1:39" ht="15" customHeight="1">
      <c r="A134" s="17"/>
      <c r="B134" s="91"/>
      <c r="C134" s="21"/>
      <c r="D134" s="21"/>
      <c r="E134" s="61" t="s">
        <v>182</v>
      </c>
      <c r="F134" s="42">
        <f>F107</f>
        <v>4.54</v>
      </c>
      <c r="G134" s="179" t="s">
        <v>96</v>
      </c>
      <c r="H134" s="21"/>
      <c r="I134" s="251"/>
      <c r="J134" s="244" t="s">
        <v>183</v>
      </c>
      <c r="K134" s="139">
        <f>IF(F73="YES",Equations!F57,Start_up!M2)</f>
        <v>39.950000000000003</v>
      </c>
      <c r="L134" s="252" t="s">
        <v>108</v>
      </c>
      <c r="M134" s="240"/>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108"/>
    </row>
    <row r="135" spans="1:39" ht="15" customHeight="1">
      <c r="A135" s="17"/>
      <c r="B135" s="91"/>
      <c r="C135" s="21"/>
      <c r="D135" s="21"/>
      <c r="E135" s="61" t="s">
        <v>184</v>
      </c>
      <c r="F135" s="43" t="str">
        <f>IF(F96="Option A","N/A",F108)</f>
        <v>N/A</v>
      </c>
      <c r="G135" s="179" t="s">
        <v>96</v>
      </c>
      <c r="H135" s="21"/>
      <c r="I135" s="251"/>
      <c r="J135" s="244" t="s">
        <v>185</v>
      </c>
      <c r="K135" s="137">
        <f>TINSERT</f>
        <v>8.125</v>
      </c>
      <c r="L135" s="252" t="s">
        <v>108</v>
      </c>
      <c r="M135" s="240"/>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108"/>
    </row>
    <row r="136" spans="1:39" ht="15" customHeight="1">
      <c r="A136" s="17"/>
      <c r="B136" s="91"/>
      <c r="C136" s="21"/>
      <c r="D136" s="21"/>
      <c r="E136" s="62" t="s">
        <v>186</v>
      </c>
      <c r="F136" s="44">
        <f>F123</f>
        <v>150</v>
      </c>
      <c r="G136" s="179" t="s">
        <v>96</v>
      </c>
      <c r="H136" s="21"/>
      <c r="I136" s="251"/>
      <c r="J136" s="244" t="s">
        <v>187</v>
      </c>
      <c r="K136" s="139">
        <f>IF(F73="YES", F92,F79)</f>
        <v>0.52</v>
      </c>
      <c r="L136" s="252" t="s">
        <v>108</v>
      </c>
      <c r="M136" s="240"/>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108"/>
    </row>
    <row r="137" spans="1:39" ht="15" customHeight="1">
      <c r="A137" s="17"/>
      <c r="B137" s="91"/>
      <c r="C137" s="21"/>
      <c r="D137" s="21"/>
      <c r="E137" s="62" t="s">
        <v>188</v>
      </c>
      <c r="F137" s="44">
        <f>F124</f>
        <v>10.5</v>
      </c>
      <c r="G137" s="179" t="s">
        <v>96</v>
      </c>
      <c r="H137" s="21"/>
      <c r="I137" s="251"/>
      <c r="J137" s="244" t="s">
        <v>189</v>
      </c>
      <c r="K137" s="133">
        <f>F95</f>
        <v>82.877142857142871</v>
      </c>
      <c r="L137" s="252" t="s">
        <v>108</v>
      </c>
      <c r="M137" s="240"/>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108"/>
    </row>
    <row r="138" spans="1:39" ht="15" customHeight="1">
      <c r="A138" s="17"/>
      <c r="B138" s="91"/>
      <c r="C138" s="21"/>
      <c r="D138" s="21"/>
      <c r="E138" s="62" t="s">
        <v>190</v>
      </c>
      <c r="F138" s="46">
        <f>IF(F73="YES", F86, "DNP")</f>
        <v>47</v>
      </c>
      <c r="G138" s="179" t="s">
        <v>112</v>
      </c>
      <c r="H138" s="21"/>
      <c r="I138" s="251"/>
      <c r="J138" s="246" t="s">
        <v>191</v>
      </c>
      <c r="K138" s="133">
        <f>E111</f>
        <v>11.496483516483517</v>
      </c>
      <c r="L138" s="252" t="s">
        <v>40</v>
      </c>
      <c r="M138" s="240"/>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108"/>
    </row>
    <row r="139" spans="1:39" ht="15" customHeight="1">
      <c r="A139" s="17"/>
      <c r="B139" s="91"/>
      <c r="C139" s="21"/>
      <c r="D139" s="21"/>
      <c r="E139" s="61" t="s">
        <v>192</v>
      </c>
      <c r="F139" s="45">
        <v>0.01</v>
      </c>
      <c r="G139" s="179" t="s">
        <v>46</v>
      </c>
      <c r="H139" s="21"/>
      <c r="I139" s="251"/>
      <c r="J139" s="246" t="s">
        <v>193</v>
      </c>
      <c r="K139" s="133">
        <f>E112</f>
        <v>10.996483516483517</v>
      </c>
      <c r="L139" s="252" t="s">
        <v>40</v>
      </c>
      <c r="M139" s="240"/>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108"/>
    </row>
    <row r="140" spans="1:39" ht="15" customHeight="1">
      <c r="A140" s="17"/>
      <c r="B140" s="91"/>
      <c r="C140" s="21"/>
      <c r="D140" s="21"/>
      <c r="E140" s="62" t="s">
        <v>194</v>
      </c>
      <c r="F140" s="46">
        <v>1</v>
      </c>
      <c r="G140" s="179" t="s">
        <v>46</v>
      </c>
      <c r="H140" s="21"/>
      <c r="I140" s="251"/>
      <c r="J140" s="246" t="s">
        <v>195</v>
      </c>
      <c r="K140" s="133">
        <f>E113</f>
        <v>17.490925110132157</v>
      </c>
      <c r="L140" s="252" t="s">
        <v>40</v>
      </c>
      <c r="M140" s="240"/>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108"/>
    </row>
    <row r="141" spans="1:39" ht="15" customHeight="1">
      <c r="A141" s="17"/>
      <c r="B141" s="91"/>
      <c r="C141" s="21"/>
      <c r="D141" s="21"/>
      <c r="E141" s="62" t="s">
        <v>196</v>
      </c>
      <c r="F141" s="46">
        <v>1</v>
      </c>
      <c r="G141" s="179" t="s">
        <v>46</v>
      </c>
      <c r="H141" s="21"/>
      <c r="I141" s="251"/>
      <c r="J141" s="246" t="s">
        <v>197</v>
      </c>
      <c r="K141" s="133">
        <f>E114</f>
        <v>16.908385110132159</v>
      </c>
      <c r="L141" s="252" t="s">
        <v>40</v>
      </c>
      <c r="M141" s="240"/>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108"/>
    </row>
    <row r="142" spans="1:39" ht="15" customHeight="1">
      <c r="A142" s="17"/>
      <c r="B142" s="91"/>
      <c r="C142" s="21"/>
      <c r="D142" s="21"/>
      <c r="E142" s="62" t="s">
        <v>198</v>
      </c>
      <c r="F142" s="42" t="str">
        <f>IF(F38="26 mV","VDD","GND")</f>
        <v>VDD</v>
      </c>
      <c r="G142" s="179"/>
      <c r="H142" s="21"/>
      <c r="I142" s="251"/>
      <c r="J142" s="246" t="s">
        <v>199</v>
      </c>
      <c r="K142" s="19">
        <f>Equations!F104</f>
        <v>37.602857142857147</v>
      </c>
      <c r="L142" s="252" t="s">
        <v>40</v>
      </c>
      <c r="M142" s="240"/>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108"/>
    </row>
    <row r="143" spans="1:39" ht="15" customHeight="1" thickBot="1">
      <c r="A143" s="17"/>
      <c r="B143" s="91"/>
      <c r="C143" s="21"/>
      <c r="D143" s="21"/>
      <c r="E143" s="62" t="s">
        <v>200</v>
      </c>
      <c r="F143" s="46" t="str">
        <f>IF(F52="1.9 x Current Limit","VDD","GND")</f>
        <v>VDD</v>
      </c>
      <c r="G143" s="179"/>
      <c r="H143" s="21"/>
      <c r="I143" s="253"/>
      <c r="J143" s="254" t="s">
        <v>201</v>
      </c>
      <c r="K143" s="131">
        <f>Equations!F107/1000</f>
        <v>3</v>
      </c>
      <c r="L143" s="255" t="s">
        <v>40</v>
      </c>
      <c r="M143" s="240"/>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108"/>
    </row>
    <row r="144" spans="1:39" ht="15" customHeight="1">
      <c r="A144" s="17"/>
      <c r="B144" s="91"/>
      <c r="C144" s="21"/>
      <c r="D144" s="21"/>
      <c r="E144" s="62" t="s">
        <v>202</v>
      </c>
      <c r="F144" s="122" t="str">
        <f>IF(F51="Retry","GND","VDD")</f>
        <v>GND</v>
      </c>
      <c r="G144" s="179"/>
      <c r="H144" s="21"/>
      <c r="I144" s="125"/>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130"/>
    </row>
    <row r="145" spans="1:40" ht="15" customHeight="1">
      <c r="A145" s="17"/>
      <c r="B145" s="91"/>
      <c r="C145" s="21"/>
      <c r="D145" s="21"/>
      <c r="E145" s="62" t="s">
        <v>203</v>
      </c>
      <c r="F145" s="122" t="s">
        <v>204</v>
      </c>
      <c r="G145" s="302"/>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108"/>
      <c r="AN145" s="241"/>
    </row>
    <row r="146" spans="1:40" ht="15" customHeight="1">
      <c r="A146" s="17"/>
      <c r="B146" s="91"/>
      <c r="C146" s="21"/>
      <c r="D146" s="21"/>
      <c r="E146" s="62" t="s">
        <v>205</v>
      </c>
      <c r="F146" s="122" t="str">
        <f>IF(F73="YES","1N4148W-7-F","DNP")</f>
        <v>1N4148W-7-F</v>
      </c>
      <c r="G146" s="302"/>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108"/>
      <c r="AN146" s="242"/>
    </row>
    <row r="147" spans="1:40" ht="15" customHeight="1">
      <c r="A147" s="17"/>
      <c r="B147" s="91"/>
      <c r="C147" s="21"/>
      <c r="D147" s="21"/>
      <c r="E147" s="62" t="s">
        <v>206</v>
      </c>
      <c r="F147" s="122" t="str">
        <f>F53</f>
        <v>CSD19536KTT</v>
      </c>
      <c r="G147" s="302"/>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108"/>
      <c r="AN147" s="242"/>
    </row>
    <row r="148" spans="1:40" s="241" customFormat="1" ht="15" customHeight="1">
      <c r="A148" s="17"/>
      <c r="B148" s="91"/>
      <c r="C148" s="21"/>
      <c r="D148" s="21"/>
      <c r="E148" s="62" t="s">
        <v>207</v>
      </c>
      <c r="F148" s="122" t="s">
        <v>208</v>
      </c>
      <c r="G148" s="302"/>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108"/>
      <c r="AN148" s="242"/>
    </row>
    <row r="149" spans="1:40" ht="15" customHeight="1">
      <c r="A149" s="17"/>
      <c r="B149" s="91"/>
      <c r="C149" s="21"/>
      <c r="D149" s="21"/>
      <c r="E149" s="62" t="s">
        <v>209</v>
      </c>
      <c r="F149" s="122" t="str">
        <f>IF(F73="YES","MMBT5401LT1G","DNP")</f>
        <v>MMBT5401LT1G</v>
      </c>
      <c r="G149" s="302"/>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108"/>
      <c r="AN149" s="242"/>
    </row>
    <row r="150" spans="1:40" ht="15" customHeight="1">
      <c r="A150" s="17"/>
      <c r="B150" s="91"/>
      <c r="C150" s="21"/>
      <c r="D150" s="21"/>
      <c r="E150" s="62" t="s">
        <v>210</v>
      </c>
      <c r="F150" s="122" t="s">
        <v>211</v>
      </c>
      <c r="G150" s="179"/>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103"/>
      <c r="AN150" s="242"/>
    </row>
    <row r="151" spans="1:40" s="241" customFormat="1" ht="15" customHeight="1">
      <c r="A151" s="17"/>
      <c r="B151" s="91"/>
      <c r="C151" s="21"/>
      <c r="D151" s="21"/>
      <c r="E151" s="62"/>
      <c r="F151" s="141"/>
      <c r="G151" s="179"/>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103"/>
      <c r="AN151" s="242"/>
    </row>
    <row r="152" spans="1:40" ht="15.75">
      <c r="A152" s="17"/>
      <c r="B152" s="243" t="s">
        <v>212</v>
      </c>
      <c r="C152" s="31" t="s">
        <v>213</v>
      </c>
      <c r="D152" s="20"/>
      <c r="E152" s="31"/>
      <c r="F152" s="127"/>
      <c r="G152" s="180"/>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103"/>
      <c r="AN152" s="242"/>
    </row>
    <row r="153" spans="1:40" ht="12.75">
      <c r="A153" s="17"/>
      <c r="B153" s="91"/>
      <c r="C153" s="31" t="s">
        <v>214</v>
      </c>
      <c r="D153" s="21"/>
      <c r="E153" s="31"/>
      <c r="F153" s="21"/>
      <c r="G153" s="180"/>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103"/>
      <c r="AN153" s="241"/>
    </row>
    <row r="154" spans="1:40" ht="12.75">
      <c r="A154" s="17"/>
      <c r="B154" s="91"/>
      <c r="C154" s="31" t="s">
        <v>215</v>
      </c>
      <c r="D154" s="21"/>
      <c r="E154" s="31"/>
      <c r="F154" s="21"/>
      <c r="G154" s="180"/>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103"/>
      <c r="AN154" s="241"/>
    </row>
    <row r="155" spans="1:40" ht="13.5" thickBot="1">
      <c r="A155" s="17"/>
      <c r="B155" s="92"/>
      <c r="C155" s="93"/>
      <c r="D155" s="93"/>
      <c r="E155" s="128"/>
      <c r="F155" s="93"/>
      <c r="G155" s="181"/>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c r="AH155" s="93"/>
      <c r="AI155" s="93"/>
      <c r="AJ155" s="93"/>
      <c r="AK155" s="93"/>
      <c r="AL155" s="93"/>
      <c r="AM155" s="107"/>
      <c r="AN155" s="241"/>
    </row>
    <row r="156" spans="1:40" ht="12.75">
      <c r="A156" s="17"/>
      <c r="B156" s="17"/>
      <c r="C156" s="17"/>
      <c r="D156" s="17"/>
      <c r="E156" s="17"/>
      <c r="F156" s="29"/>
      <c r="G156" s="18"/>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241"/>
    </row>
    <row r="157" spans="1:40" ht="15">
      <c r="A157" s="17"/>
      <c r="B157" s="39"/>
      <c r="C157" s="17"/>
      <c r="D157" s="17"/>
      <c r="E157" s="17"/>
      <c r="F157" s="32"/>
      <c r="G157" s="182"/>
      <c r="H157" s="17"/>
      <c r="I157" s="241"/>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241"/>
    </row>
    <row r="158" spans="1:40" ht="12.75">
      <c r="A158" s="17"/>
      <c r="B158" s="17"/>
      <c r="C158" s="17"/>
      <c r="D158" s="17"/>
      <c r="E158" s="17"/>
      <c r="F158" s="32"/>
      <c r="G158" s="182"/>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241"/>
    </row>
    <row r="159" spans="1:40" ht="12.75">
      <c r="A159" s="17"/>
      <c r="B159" s="17"/>
      <c r="C159" s="17"/>
      <c r="D159" s="17"/>
      <c r="E159" s="17"/>
      <c r="F159" s="32"/>
      <c r="G159" s="182"/>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241"/>
    </row>
    <row r="160" spans="1:40" ht="12.75">
      <c r="A160" s="17"/>
      <c r="B160" s="17"/>
      <c r="C160" s="17"/>
      <c r="D160" s="17"/>
      <c r="E160" s="17"/>
      <c r="F160" s="32"/>
      <c r="G160" s="182"/>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241"/>
    </row>
    <row r="161" spans="1:39" ht="12.75">
      <c r="A161" s="17"/>
      <c r="B161" s="17"/>
      <c r="C161" s="17"/>
      <c r="D161" s="17"/>
      <c r="E161" s="17"/>
      <c r="F161" s="32"/>
      <c r="G161" s="182"/>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row>
    <row r="162" spans="1:39" ht="12.75">
      <c r="A162" s="17"/>
      <c r="B162" s="17"/>
      <c r="C162" s="17"/>
      <c r="D162" s="17"/>
      <c r="E162" s="17"/>
      <c r="F162" s="32"/>
      <c r="G162" s="182"/>
      <c r="H162" s="32"/>
      <c r="I162" s="32"/>
      <c r="J162" s="32"/>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row>
    <row r="163" spans="1:39" ht="12.75">
      <c r="A163" s="17"/>
      <c r="B163" s="17"/>
      <c r="C163" s="17"/>
      <c r="D163" s="17"/>
      <c r="E163" s="17"/>
      <c r="F163" s="32"/>
      <c r="G163" s="182"/>
      <c r="H163" s="32"/>
      <c r="I163" s="32"/>
      <c r="J163" s="32"/>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row>
    <row r="164" spans="1:39" ht="12.75">
      <c r="A164" s="17"/>
      <c r="B164" s="17"/>
      <c r="C164" s="17"/>
      <c r="D164" s="17"/>
      <c r="E164" s="17"/>
      <c r="F164" s="32"/>
      <c r="G164" s="182"/>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row>
    <row r="165" spans="1:39" ht="12.75">
      <c r="A165" s="17"/>
      <c r="B165" s="17"/>
      <c r="C165" s="17"/>
      <c r="D165" s="17"/>
      <c r="E165" s="17"/>
      <c r="F165" s="17"/>
      <c r="G165" s="18"/>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row>
    <row r="166" spans="1:39" ht="12.75">
      <c r="A166" s="17"/>
      <c r="B166" s="17"/>
      <c r="C166" s="17"/>
      <c r="D166" s="17"/>
      <c r="E166" s="17"/>
      <c r="F166" s="32"/>
      <c r="G166" s="182"/>
      <c r="H166" s="32"/>
      <c r="I166" s="32"/>
      <c r="J166" s="32"/>
      <c r="K166" s="32"/>
      <c r="L166" s="32"/>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row>
    <row r="167" spans="1:39" ht="12.75">
      <c r="A167" s="17"/>
      <c r="B167" s="17"/>
      <c r="C167" s="17"/>
      <c r="D167" s="17"/>
      <c r="E167" s="17"/>
      <c r="F167" s="32"/>
      <c r="G167" s="182"/>
      <c r="H167" s="32"/>
      <c r="I167" s="32"/>
      <c r="J167" s="32"/>
      <c r="K167" s="32"/>
      <c r="L167" s="32"/>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row>
    <row r="168" spans="1:39" ht="12.75">
      <c r="A168" s="17"/>
      <c r="B168" s="17"/>
      <c r="C168" s="17"/>
      <c r="D168" s="17"/>
      <c r="E168" s="17"/>
      <c r="F168" s="32"/>
      <c r="G168" s="182"/>
      <c r="H168" s="32"/>
      <c r="I168" s="32"/>
      <c r="J168" s="32"/>
      <c r="K168" s="32"/>
      <c r="L168" s="32"/>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row>
    <row r="169" spans="1:39" ht="12.75">
      <c r="A169" s="17"/>
      <c r="B169" s="17"/>
      <c r="C169" s="17"/>
      <c r="D169" s="17"/>
      <c r="E169" s="17"/>
      <c r="F169" s="32"/>
      <c r="G169" s="182"/>
      <c r="H169" s="32"/>
      <c r="I169" s="32"/>
      <c r="J169" s="32"/>
      <c r="K169" s="32"/>
      <c r="L169" s="32"/>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row>
    <row r="170" spans="1:39" ht="12.75">
      <c r="A170" s="17"/>
      <c r="B170" s="17"/>
      <c r="C170" s="17"/>
      <c r="D170" s="17"/>
      <c r="E170" s="17"/>
      <c r="F170" s="32"/>
      <c r="G170" s="182"/>
      <c r="H170" s="32"/>
      <c r="I170" s="32"/>
      <c r="J170" s="32"/>
      <c r="K170" s="32"/>
      <c r="L170" s="32"/>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row>
    <row r="171" spans="1:39" ht="12.75">
      <c r="A171" s="17"/>
      <c r="B171" s="17"/>
      <c r="C171" s="17"/>
      <c r="D171" s="17"/>
      <c r="E171" s="17"/>
      <c r="F171" s="32"/>
      <c r="G171" s="182"/>
      <c r="H171" s="32"/>
      <c r="I171" s="32"/>
      <c r="J171" s="32"/>
      <c r="K171" s="32"/>
      <c r="L171" s="32"/>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row>
    <row r="172" spans="1:39" ht="12.75">
      <c r="A172" s="17"/>
      <c r="B172" s="17"/>
      <c r="C172" s="17"/>
      <c r="D172" s="17"/>
      <c r="E172" s="17"/>
      <c r="F172" s="17"/>
      <c r="G172" s="18"/>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row>
    <row r="173" spans="1:39" ht="12.75">
      <c r="A173" s="17"/>
      <c r="B173" s="17"/>
      <c r="C173" s="17"/>
      <c r="D173" s="17"/>
      <c r="E173" s="17"/>
      <c r="F173" s="17"/>
      <c r="G173" s="18"/>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row>
    <row r="174" spans="1:39" ht="12.75">
      <c r="A174" s="17"/>
      <c r="B174" s="17"/>
      <c r="C174" s="17"/>
      <c r="D174" s="17"/>
      <c r="E174" s="17"/>
      <c r="F174" s="17"/>
      <c r="G174" s="18"/>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row>
    <row r="175" spans="1:39" ht="12.75">
      <c r="A175" s="17"/>
      <c r="B175" s="17"/>
      <c r="C175" s="17"/>
      <c r="D175" s="17"/>
      <c r="E175" s="17"/>
      <c r="F175" s="17"/>
      <c r="G175" s="18"/>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row>
    <row r="176" spans="1:39" ht="12.75">
      <c r="A176" s="17"/>
      <c r="B176" s="17"/>
      <c r="C176" s="17"/>
      <c r="D176" s="17"/>
      <c r="E176" s="17"/>
      <c r="F176" s="17"/>
      <c r="G176" s="18"/>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row>
    <row r="177" spans="1:39" ht="12.75">
      <c r="A177" s="17"/>
      <c r="B177" s="17"/>
      <c r="C177" s="17"/>
      <c r="D177" s="17"/>
      <c r="E177" s="17"/>
      <c r="F177" s="17"/>
      <c r="G177" s="18"/>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row>
    <row r="178" spans="1:39" ht="12.75">
      <c r="A178" s="17"/>
      <c r="B178" s="17"/>
      <c r="C178" s="17"/>
      <c r="D178" s="17"/>
      <c r="E178" s="17"/>
      <c r="F178" s="17"/>
      <c r="G178" s="18"/>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row>
    <row r="179" spans="1:39" ht="12.75">
      <c r="A179" s="17"/>
      <c r="B179" s="17"/>
      <c r="C179" s="17"/>
      <c r="D179" s="17"/>
      <c r="E179" s="17"/>
      <c r="F179" s="17"/>
      <c r="G179" s="18"/>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row>
    <row r="180" spans="1:39" ht="12.75">
      <c r="A180" s="17"/>
      <c r="B180" s="17"/>
      <c r="C180" s="17"/>
      <c r="D180" s="17"/>
      <c r="E180" s="17"/>
      <c r="F180" s="17"/>
      <c r="G180" s="18"/>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row>
    <row r="181" spans="1:39" ht="12.75">
      <c r="A181" s="17"/>
      <c r="B181" s="17"/>
      <c r="C181" s="17"/>
      <c r="D181" s="17"/>
      <c r="E181" s="17"/>
      <c r="F181" s="17"/>
      <c r="G181" s="18"/>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row>
    <row r="182" spans="1:39" ht="12.75">
      <c r="A182" s="17"/>
      <c r="B182" s="17"/>
      <c r="C182" s="17"/>
      <c r="D182" s="17"/>
      <c r="E182" s="17"/>
      <c r="F182" s="17"/>
      <c r="G182" s="18"/>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row>
    <row r="183" spans="1:39" ht="15">
      <c r="A183" s="17"/>
      <c r="B183" s="40"/>
      <c r="C183" s="17"/>
      <c r="D183" s="17"/>
      <c r="E183" s="17"/>
      <c r="F183" s="17"/>
      <c r="G183" s="18"/>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row>
    <row r="184" spans="1:39" ht="12.75">
      <c r="A184" s="17"/>
      <c r="B184" s="17"/>
      <c r="C184" s="17"/>
      <c r="D184" s="17"/>
      <c r="E184" s="17"/>
      <c r="F184" s="17"/>
      <c r="G184" s="18"/>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row>
    <row r="185" spans="1:39" ht="12.75">
      <c r="A185" s="17"/>
      <c r="B185" s="17"/>
      <c r="C185" s="17"/>
      <c r="D185" s="17"/>
      <c r="E185" s="17"/>
      <c r="F185" s="17"/>
      <c r="G185" s="18"/>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row>
    <row r="186" spans="1:39" ht="12.75">
      <c r="A186" s="17"/>
      <c r="B186" s="17"/>
      <c r="C186" s="17"/>
      <c r="D186" s="17"/>
      <c r="E186" s="17"/>
      <c r="F186" s="17"/>
      <c r="G186" s="18"/>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row>
    <row r="187" spans="1:39" ht="12.75">
      <c r="A187" s="17"/>
      <c r="B187" s="17"/>
      <c r="C187" s="17"/>
      <c r="D187" s="17"/>
      <c r="E187" s="17"/>
      <c r="F187" s="17"/>
      <c r="G187" s="18"/>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row>
    <row r="188" spans="1:39" ht="12.75">
      <c r="A188" s="17"/>
      <c r="B188" s="17"/>
      <c r="C188" s="241"/>
      <c r="D188" s="17"/>
      <c r="E188" s="17"/>
      <c r="F188" s="17"/>
      <c r="G188" s="18"/>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row>
    <row r="189" spans="1:39" ht="12.75">
      <c r="A189" s="17"/>
      <c r="B189" s="17"/>
      <c r="C189" s="17"/>
      <c r="D189" s="17"/>
      <c r="E189" s="17"/>
      <c r="F189" s="17"/>
      <c r="G189" s="18"/>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row>
    <row r="190" spans="1:39" ht="12.75">
      <c r="A190" s="17"/>
      <c r="B190" s="17"/>
      <c r="C190" s="17"/>
      <c r="D190" s="17"/>
      <c r="E190" s="17"/>
      <c r="F190" s="17"/>
      <c r="G190" s="18"/>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row>
    <row r="191" spans="1:39" ht="12.75">
      <c r="A191" s="17"/>
      <c r="B191" s="17"/>
      <c r="C191" s="17"/>
      <c r="D191" s="17"/>
      <c r="E191" s="17"/>
      <c r="F191" s="17"/>
      <c r="G191" s="18"/>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row>
    <row r="192" spans="1:39" ht="12.75">
      <c r="A192" s="17"/>
      <c r="B192" s="17"/>
      <c r="C192" s="17"/>
      <c r="D192" s="17"/>
      <c r="E192" s="17"/>
      <c r="F192" s="17"/>
      <c r="G192" s="18"/>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row>
    <row r="193" spans="1:39" ht="12.75">
      <c r="A193" s="17"/>
      <c r="B193" s="17"/>
      <c r="C193" s="17"/>
      <c r="D193" s="17"/>
      <c r="E193" s="17"/>
      <c r="F193" s="17"/>
      <c r="G193" s="18"/>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row>
    <row r="194" spans="1:39" ht="12.75">
      <c r="A194" s="17"/>
      <c r="B194" s="17"/>
      <c r="C194" s="17"/>
      <c r="D194" s="17"/>
      <c r="E194" s="17"/>
      <c r="F194" s="17"/>
      <c r="G194" s="18"/>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row>
    <row r="195" spans="1:39" ht="12.75">
      <c r="A195" s="17"/>
      <c r="B195" s="17"/>
      <c r="C195" s="17"/>
      <c r="D195" s="17"/>
      <c r="E195" s="17"/>
      <c r="F195" s="17"/>
      <c r="G195" s="18"/>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row>
    <row r="196" spans="1:39" ht="12.75">
      <c r="A196" s="17"/>
      <c r="B196" s="17"/>
      <c r="C196" s="17"/>
      <c r="D196" s="17"/>
      <c r="E196" s="17"/>
      <c r="F196" s="17"/>
      <c r="G196" s="18"/>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row>
    <row r="197" spans="1:39" ht="12.75">
      <c r="A197" s="17"/>
      <c r="B197" s="17"/>
      <c r="C197" s="17"/>
      <c r="D197" s="17"/>
      <c r="E197" s="17"/>
      <c r="F197" s="17"/>
      <c r="G197" s="18"/>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row>
    <row r="198" spans="1:39" ht="12.75">
      <c r="A198" s="17"/>
      <c r="B198" s="17"/>
      <c r="C198" s="17"/>
      <c r="D198" s="17"/>
      <c r="E198" s="17"/>
      <c r="F198" s="17"/>
      <c r="G198" s="18"/>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row>
    <row r="199" spans="1:39" ht="12.75">
      <c r="A199" s="17"/>
      <c r="B199" s="17"/>
      <c r="C199" s="17"/>
      <c r="D199" s="17"/>
      <c r="E199" s="17"/>
      <c r="F199" s="17"/>
      <c r="G199" s="18"/>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row>
    <row r="200" spans="1:39" ht="12.75">
      <c r="A200" s="17"/>
      <c r="B200" s="17"/>
      <c r="C200" s="17"/>
      <c r="D200" s="17"/>
      <c r="E200" s="17"/>
      <c r="F200" s="17"/>
      <c r="G200" s="18"/>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row>
    <row r="201" spans="1:39" ht="12.75">
      <c r="A201" s="17"/>
      <c r="B201" s="17"/>
      <c r="C201" s="17"/>
      <c r="D201" s="17"/>
      <c r="E201" s="17"/>
      <c r="F201" s="17"/>
      <c r="G201" s="18"/>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row>
    <row r="202" spans="1:39" ht="12.75">
      <c r="A202" s="17"/>
      <c r="B202" s="17"/>
      <c r="C202" s="17"/>
      <c r="D202" s="17"/>
      <c r="E202" s="17"/>
      <c r="F202" s="17"/>
      <c r="G202" s="18"/>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row>
    <row r="203" spans="1:39" ht="12.75">
      <c r="A203" s="17"/>
      <c r="B203" s="17"/>
      <c r="C203" s="17"/>
      <c r="D203" s="17"/>
      <c r="E203" s="17"/>
      <c r="F203" s="17"/>
      <c r="G203" s="18"/>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row>
    <row r="204" spans="1:39" ht="12.75">
      <c r="A204" s="17"/>
      <c r="B204" s="17"/>
      <c r="C204" s="17"/>
      <c r="D204" s="17"/>
      <c r="E204" s="17"/>
      <c r="F204" s="17"/>
      <c r="G204" s="18"/>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row>
    <row r="205" spans="1:39" ht="12.75">
      <c r="A205" s="17"/>
      <c r="B205" s="17"/>
      <c r="C205" s="17"/>
      <c r="D205" s="17"/>
      <c r="E205" s="17"/>
      <c r="F205" s="17"/>
      <c r="G205" s="18"/>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row>
    <row r="206" spans="1:39" ht="12.75">
      <c r="A206" s="17"/>
      <c r="B206" s="17"/>
      <c r="C206" s="17"/>
      <c r="D206" s="17"/>
      <c r="E206" s="17"/>
      <c r="F206" s="17"/>
      <c r="G206" s="18"/>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row>
    <row r="207" spans="1:39" ht="12.75">
      <c r="A207" s="17"/>
      <c r="B207" s="17"/>
      <c r="C207" s="17"/>
      <c r="D207" s="17"/>
      <c r="E207" s="17"/>
      <c r="F207" s="17"/>
      <c r="G207" s="18"/>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row>
    <row r="208" spans="1:39" ht="12.75">
      <c r="A208" s="17"/>
      <c r="B208" s="17"/>
      <c r="C208" s="17"/>
      <c r="D208" s="17"/>
      <c r="E208" s="17"/>
      <c r="F208" s="17"/>
      <c r="G208" s="18"/>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row>
    <row r="209" spans="1:39" ht="12.75">
      <c r="A209" s="17"/>
      <c r="B209" s="17"/>
      <c r="C209" s="17"/>
      <c r="D209" s="17"/>
      <c r="E209" s="17"/>
      <c r="F209" s="17"/>
      <c r="G209" s="18"/>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row>
    <row r="210" spans="1:39" ht="12.75">
      <c r="A210" s="17"/>
      <c r="B210" s="17"/>
      <c r="C210" s="17"/>
      <c r="D210" s="17"/>
      <c r="E210" s="17"/>
      <c r="F210" s="17"/>
      <c r="G210" s="18"/>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row>
    <row r="211" spans="1:39" ht="12.75">
      <c r="A211" s="17"/>
      <c r="B211" s="17"/>
      <c r="C211" s="17"/>
      <c r="D211" s="17"/>
      <c r="E211" s="17"/>
      <c r="F211" s="17"/>
      <c r="G211" s="18"/>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row>
    <row r="212" spans="1:39" ht="12.75">
      <c r="A212" s="17"/>
      <c r="B212" s="17"/>
      <c r="C212" s="17"/>
      <c r="D212" s="17"/>
      <c r="E212" s="17"/>
      <c r="F212" s="17"/>
      <c r="G212" s="18"/>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row>
    <row r="213" spans="1:39" ht="12.75">
      <c r="A213" s="17"/>
      <c r="B213" s="17"/>
      <c r="C213" s="17"/>
      <c r="D213" s="17"/>
      <c r="E213" s="17"/>
      <c r="F213" s="17"/>
      <c r="G213" s="18"/>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row>
    <row r="214" spans="1:39" ht="12.75">
      <c r="A214" s="17"/>
      <c r="B214" s="17"/>
      <c r="C214" s="17"/>
      <c r="D214" s="17"/>
      <c r="E214" s="17"/>
      <c r="F214" s="17"/>
      <c r="G214" s="18"/>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row>
    <row r="215" spans="1:39" ht="12.75">
      <c r="A215" s="17"/>
      <c r="B215" s="17"/>
      <c r="C215" s="17"/>
      <c r="D215" s="17"/>
      <c r="E215" s="17"/>
      <c r="F215" s="17"/>
      <c r="G215" s="18"/>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row>
    <row r="216" spans="1:39" ht="12.75">
      <c r="A216" s="17"/>
      <c r="B216" s="17"/>
      <c r="C216" s="17"/>
      <c r="D216" s="17"/>
      <c r="E216" s="17"/>
      <c r="F216" s="17"/>
      <c r="G216" s="18"/>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row>
    <row r="217" spans="1:39" ht="12.75">
      <c r="A217" s="17"/>
      <c r="B217" s="17"/>
      <c r="C217" s="17"/>
      <c r="D217" s="17"/>
      <c r="E217" s="17"/>
      <c r="F217" s="17"/>
      <c r="G217" s="18"/>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row>
    <row r="218" spans="1:39" ht="12.75">
      <c r="A218" s="17"/>
      <c r="B218" s="17"/>
      <c r="C218" s="17"/>
      <c r="D218" s="17"/>
      <c r="E218" s="17"/>
      <c r="F218" s="17"/>
      <c r="G218" s="18"/>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row>
    <row r="219" spans="1:39" ht="12.75">
      <c r="A219" s="17"/>
      <c r="B219" s="17"/>
      <c r="C219" s="17"/>
      <c r="D219" s="17"/>
      <c r="E219" s="17"/>
      <c r="F219" s="17"/>
      <c r="G219" s="18"/>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row>
    <row r="220" spans="1:39" ht="12.75">
      <c r="A220" s="17"/>
      <c r="B220" s="17"/>
      <c r="C220" s="17"/>
      <c r="D220" s="17"/>
      <c r="E220" s="17"/>
      <c r="F220" s="17"/>
      <c r="G220" s="18"/>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row>
    <row r="221" spans="1:39" ht="12.75">
      <c r="A221" s="17"/>
      <c r="B221" s="17"/>
      <c r="C221" s="17"/>
      <c r="D221" s="17"/>
      <c r="E221" s="17"/>
      <c r="F221" s="17"/>
      <c r="G221" s="18"/>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row>
    <row r="222" spans="1:39" ht="12.75">
      <c r="A222" s="17"/>
      <c r="B222" s="17"/>
      <c r="C222" s="17"/>
      <c r="D222" s="17"/>
      <c r="E222" s="17"/>
      <c r="F222" s="17"/>
      <c r="G222" s="18"/>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row>
    <row r="223" spans="1:39" ht="12.75">
      <c r="A223" s="17"/>
      <c r="B223" s="17"/>
      <c r="C223" s="17"/>
      <c r="D223" s="17"/>
      <c r="E223" s="17"/>
      <c r="F223" s="17"/>
      <c r="G223" s="18"/>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row>
    <row r="224" spans="1:39" ht="12.75">
      <c r="A224" s="17"/>
      <c r="B224" s="17"/>
      <c r="C224" s="17"/>
      <c r="D224" s="17"/>
      <c r="E224" s="17"/>
      <c r="F224" s="17"/>
      <c r="G224" s="18"/>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row>
    <row r="225" spans="1:39" ht="12.75">
      <c r="A225" s="17"/>
      <c r="B225" s="17"/>
      <c r="C225" s="17"/>
      <c r="D225" s="17"/>
      <c r="E225" s="17"/>
      <c r="F225" s="17"/>
      <c r="G225" s="18"/>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row>
    <row r="226" spans="1:39" ht="12.75">
      <c r="A226" s="17"/>
      <c r="B226" s="17"/>
      <c r="C226" s="17"/>
      <c r="D226" s="17"/>
      <c r="E226" s="17"/>
      <c r="F226" s="17"/>
      <c r="G226" s="18"/>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row>
    <row r="227" spans="1:39" ht="12.75">
      <c r="A227" s="17"/>
      <c r="B227" s="17"/>
      <c r="C227" s="17"/>
      <c r="D227" s="17"/>
      <c r="E227" s="17"/>
      <c r="F227" s="17"/>
      <c r="G227" s="18"/>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row>
  </sheetData>
  <sheetProtection selectLockedCells="1"/>
  <mergeCells count="19">
    <mergeCell ref="C115:G117"/>
    <mergeCell ref="B86:C90"/>
    <mergeCell ref="B16:B19"/>
    <mergeCell ref="D14:G15"/>
    <mergeCell ref="D22:F22"/>
    <mergeCell ref="D24:F25"/>
    <mergeCell ref="D16:I16"/>
    <mergeCell ref="D17:I17"/>
    <mergeCell ref="D18:I18"/>
    <mergeCell ref="D19:I19"/>
    <mergeCell ref="D23:F23"/>
    <mergeCell ref="B33:B34"/>
    <mergeCell ref="I68:M69"/>
    <mergeCell ref="B45:B47"/>
    <mergeCell ref="AS60:AS66"/>
    <mergeCell ref="B63:B69"/>
    <mergeCell ref="L2:M2"/>
    <mergeCell ref="A1:M1"/>
    <mergeCell ref="D11:E12"/>
  </mergeCells>
  <phoneticPr fontId="5" type="noConversion"/>
  <conditionalFormatting sqref="F98">
    <cfRule type="cellIs" dxfId="39" priority="69" stopIfTrue="1" operator="greaterThanOrEqual">
      <formula>F97</formula>
    </cfRule>
  </conditionalFormatting>
  <conditionalFormatting sqref="G100">
    <cfRule type="expression" dxfId="38" priority="71" stopIfTrue="1">
      <formula>F96="Option A"</formula>
    </cfRule>
  </conditionalFormatting>
  <conditionalFormatting sqref="E100">
    <cfRule type="expression" dxfId="37" priority="72" stopIfTrue="1">
      <formula>F96="Option A"</formula>
    </cfRule>
  </conditionalFormatting>
  <conditionalFormatting sqref="F104">
    <cfRule type="expression" dxfId="36" priority="73" stopIfTrue="1">
      <formula>F96="Option A"</formula>
    </cfRule>
  </conditionalFormatting>
  <conditionalFormatting sqref="E104">
    <cfRule type="expression" dxfId="35" priority="75" stopIfTrue="1">
      <formula>F96="Option A"</formula>
    </cfRule>
  </conditionalFormatting>
  <conditionalFormatting sqref="F41">
    <cfRule type="cellIs" dxfId="34" priority="76" stopIfTrue="1" operator="greaterThan">
      <formula>200</formula>
    </cfRule>
  </conditionalFormatting>
  <conditionalFormatting sqref="D111:F114">
    <cfRule type="cellIs" dxfId="33" priority="78" stopIfTrue="1" operator="notBetween">
      <formula>10</formula>
      <formula>80</formula>
    </cfRule>
  </conditionalFormatting>
  <conditionalFormatting sqref="G104">
    <cfRule type="expression" dxfId="32" priority="66">
      <formula>F96="Option A"</formula>
    </cfRule>
  </conditionalFormatting>
  <conditionalFormatting sqref="G108">
    <cfRule type="expression" dxfId="31" priority="65">
      <formula>F96="Option A"</formula>
    </cfRule>
  </conditionalFormatting>
  <conditionalFormatting sqref="E108">
    <cfRule type="expression" dxfId="30" priority="63">
      <formula>F96="Option A"</formula>
    </cfRule>
  </conditionalFormatting>
  <conditionalFormatting sqref="F64">
    <cfRule type="colorScale" priority="40">
      <colorScale>
        <cfvo type="min"/>
        <cfvo type="formula" val="$AN$57*0.8"/>
        <cfvo type="num" val="$AN$57"/>
        <color theme="0"/>
        <color rgb="FFFFC000"/>
        <color rgb="FFFF0000"/>
      </colorScale>
    </cfRule>
  </conditionalFormatting>
  <conditionalFormatting sqref="F42:F43">
    <cfRule type="cellIs" dxfId="29" priority="37" operator="equal">
      <formula>"NA"</formula>
    </cfRule>
    <cfRule type="cellIs" dxfId="28" priority="43" operator="equal">
      <formula>"""NA"""</formula>
    </cfRule>
  </conditionalFormatting>
  <conditionalFormatting sqref="F75">
    <cfRule type="cellIs" dxfId="27" priority="82" operator="lessThan">
      <formula>0.25</formula>
    </cfRule>
  </conditionalFormatting>
  <conditionalFormatting sqref="F78">
    <cfRule type="cellIs" dxfId="26" priority="33" operator="lessThan">
      <formula>$F$77</formula>
    </cfRule>
  </conditionalFormatting>
  <conditionalFormatting sqref="F80">
    <cfRule type="cellIs" dxfId="25" priority="30" operator="lessThan">
      <formula>1.1</formula>
    </cfRule>
    <cfRule type="cellIs" dxfId="24" priority="31" operator="between">
      <formula>1.1</formula>
      <formula>1.3</formula>
    </cfRule>
  </conditionalFormatting>
  <conditionalFormatting sqref="E73:F73">
    <cfRule type="expression" dxfId="23" priority="80">
      <formula>#REF!="Yes"</formula>
    </cfRule>
  </conditionalFormatting>
  <conditionalFormatting sqref="G84 G86:G91">
    <cfRule type="expression" dxfId="22" priority="28">
      <formula>#REF!="Yes"</formula>
    </cfRule>
  </conditionalFormatting>
  <conditionalFormatting sqref="E74:G80">
    <cfRule type="expression" dxfId="21" priority="26" stopIfTrue="1">
      <formula>$F$73="Yes"</formula>
    </cfRule>
  </conditionalFormatting>
  <conditionalFormatting sqref="D82:G93 E81:G81 B86">
    <cfRule type="expression" dxfId="20" priority="12" stopIfTrue="1">
      <formula>$F$73="NO"</formula>
    </cfRule>
  </conditionalFormatting>
  <conditionalFormatting sqref="F84 F87">
    <cfRule type="cellIs" dxfId="19" priority="21" operator="greaterThanOrEqual">
      <formula>$F$82</formula>
    </cfRule>
  </conditionalFormatting>
  <conditionalFormatting sqref="F88 F93">
    <cfRule type="cellIs" dxfId="18" priority="23" operator="lessThan">
      <formula>1.1</formula>
    </cfRule>
  </conditionalFormatting>
  <conditionalFormatting sqref="F69">
    <cfRule type="cellIs" dxfId="17" priority="19" operator="lessThan">
      <formula>$F$65</formula>
    </cfRule>
  </conditionalFormatting>
  <conditionalFormatting sqref="F81">
    <cfRule type="expression" dxfId="16" priority="18">
      <formula>#REF!="Yes"</formula>
    </cfRule>
  </conditionalFormatting>
  <conditionalFormatting sqref="E42:G46">
    <cfRule type="expression" dxfId="15" priority="15" stopIfTrue="1">
      <formula>IF($F$40="No", "TRUE", "FALSE")</formula>
    </cfRule>
  </conditionalFormatting>
  <conditionalFormatting sqref="F47:F49">
    <cfRule type="cellIs" dxfId="14" priority="14" operator="lessThan">
      <formula>$F$30</formula>
    </cfRule>
  </conditionalFormatting>
  <conditionalFormatting sqref="F82:F83">
    <cfRule type="containsText" dxfId="13" priority="13" operator="containsText" text="NA">
      <formula>NOT(ISERROR(SEARCH("NA",F82)))</formula>
    </cfRule>
  </conditionalFormatting>
  <conditionalFormatting sqref="F88">
    <cfRule type="cellIs" dxfId="12" priority="22" operator="between">
      <formula>1.1</formula>
      <formula>1.499999</formula>
    </cfRule>
  </conditionalFormatting>
  <conditionalFormatting sqref="F93">
    <cfRule type="cellIs" dxfId="11" priority="20" operator="between">
      <formula>1.1</formula>
      <formula>1.299999</formula>
    </cfRule>
  </conditionalFormatting>
  <conditionalFormatting sqref="F66">
    <cfRule type="cellIs" dxfId="10" priority="11" operator="lessThan">
      <formula>$F$65</formula>
    </cfRule>
  </conditionalFormatting>
  <conditionalFormatting sqref="B27:AM52 B70:AM155 C63:AM67 C69:H69 C68:I68 N68:AM69 B54:AM62 B53:E53 G53:AM53">
    <cfRule type="expression" dxfId="9" priority="9">
      <formula>$G$23="No"</formula>
    </cfRule>
    <cfRule type="expression" dxfId="8" priority="10">
      <formula>$G$22="No"</formula>
    </cfRule>
  </conditionalFormatting>
  <conditionalFormatting sqref="D22">
    <cfRule type="expression" dxfId="7" priority="8">
      <formula>$G$22="Yes"</formula>
    </cfRule>
  </conditionalFormatting>
  <conditionalFormatting sqref="D23">
    <cfRule type="expression" dxfId="6" priority="7">
      <formula>$G$23="Yes"</formula>
    </cfRule>
  </conditionalFormatting>
  <conditionalFormatting sqref="AS60:AS66">
    <cfRule type="expression" dxfId="5" priority="5">
      <formula>$G$23="No"</formula>
    </cfRule>
    <cfRule type="expression" dxfId="4" priority="6">
      <formula>$G$22="No"</formula>
    </cfRule>
  </conditionalFormatting>
  <conditionalFormatting sqref="B63:B69">
    <cfRule type="expression" dxfId="3" priority="3">
      <formula>$G$23="No"</formula>
    </cfRule>
    <cfRule type="expression" dxfId="2" priority="4">
      <formula>$G$22="No"</formula>
    </cfRule>
  </conditionalFormatting>
  <conditionalFormatting sqref="F53">
    <cfRule type="expression" dxfId="1" priority="1">
      <formula>$G$23="No"</formula>
    </cfRule>
    <cfRule type="expression" dxfId="0" priority="2">
      <formula>$G$22="No"</formula>
    </cfRule>
  </conditionalFormatting>
  <dataValidations xWindow="820" yWindow="376" count="19">
    <dataValidation type="decimal" allowBlank="1" showInputMessage="1" showErrorMessage="1" errorTitle="Lower UVLO Violation" error="The lower UVLO threshold MUST be at least 2.65V, and  less than the upper UVLO threshold. They cannot be equal." sqref="F98" xr:uid="{00000000-0002-0000-0100-000000000000}">
      <formula1>2.65</formula1>
      <formula2>F97</formula2>
    </dataValidation>
    <dataValidation type="decimal" allowBlank="1" showInputMessage="1" showErrorMessage="1" errorTitle="Upper OVLO Threshold Violation" error="The Upper OVLO Threshold must be greater than the upper UVLO threshold, and less than 80V." sqref="F99" xr:uid="{00000000-0002-0000-0100-000001000000}">
      <formula1>F97+0.01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0" xr:uid="{00000000-0002-0000-0100-000002000000}">
      <formula1>F97+0.01</formula1>
      <formula2>F99</formula2>
    </dataValidation>
    <dataValidation type="decimal" allowBlank="1" showInputMessage="1" showErrorMessage="1" errorTitle="UVLO Threshold Violation" error="The upper UVLO threshold must be no less than 10V, and no greater than 80V." sqref="F97"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6" xr:uid="{00000000-0002-0000-0100-000007000000}">
      <formula1>$AN$96:$AN$97</formula1>
    </dataValidation>
    <dataValidation type="list" allowBlank="1" showInputMessage="1" showErrorMessage="1" sqref="F52" xr:uid="{00000000-0002-0000-0100-000008000000}">
      <formula1>$AN$51:$AN$52</formula1>
    </dataValidation>
    <dataValidation type="list" allowBlank="1" showInputMessage="1" showErrorMessage="1" sqref="F51" xr:uid="{00000000-0002-0000-0100-000009000000}">
      <formula1>$AN$49:$AN$50</formula1>
    </dataValidation>
    <dataValidation type="whole" allowBlank="1" showInputMessage="1" showErrorMessage="1" sqref="F55" xr:uid="{00000000-0002-0000-0100-00000A000000}">
      <formula1>1</formula1>
      <formula2>6</formula2>
    </dataValidation>
    <dataValidation type="decimal" operator="greaterThan" allowBlank="1" showInputMessage="1" showErrorMessage="1" sqref="F44 F46"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2" xr:uid="{00000000-0002-0000-0100-00000C000000}">
      <formula1>"""NA"""</formula1>
    </dataValidation>
    <dataValidation type="list" allowBlank="1" showInputMessage="1" showErrorMessage="1" sqref="F73 F81" xr:uid="{00000000-0002-0000-0100-00000D000000}">
      <formula1>$AN$40:$AN$41</formula1>
    </dataValidation>
    <dataValidation type="list" allowBlank="1" showErrorMessage="1" sqref="F40" xr:uid="{00000000-0002-0000-0100-00000E000000}">
      <formula1>$AN$40:$AN$41</formula1>
    </dataValidation>
    <dataValidation type="list" allowBlank="1" showInputMessage="1" showErrorMessage="1" sqref="F38" xr:uid="{00000000-0002-0000-0100-00000F000000}">
      <formula1>$AN$38:$AN$39</formula1>
    </dataValidation>
    <dataValidation type="list" allowBlank="1" showInputMessage="1" showErrorMessage="1" sqref="F71" xr:uid="{00000000-0002-0000-0100-000010000000}">
      <formula1>$AN$72:$AN$73</formula1>
    </dataValidation>
    <dataValidation type="decimal" allowBlank="1" showInputMessage="1" showErrorMessage="1" error="Must choose a value less than 10" sqref="F45" xr:uid="{00000000-0002-0000-0100-000011000000}">
      <formula1>0</formula1>
      <formula2>10</formula2>
    </dataValidation>
    <dataValidation type="list" allowBlank="1" showInputMessage="1" showErrorMessage="1" sqref="G22:G23" xr:uid="{00000000-0002-0000-0100-000012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45:B47" r:id="rId5" display="Steps 1 &amp; 2: Operating Conditions, Current Limit, &amp; Circuit Breaker" xr:uid="{00000000-0004-0000-0100-000004000000}"/>
    <hyperlink ref="B60" r:id="rId6" xr:uid="{00000000-0004-0000-0100-000005000000}"/>
    <hyperlink ref="B79" r:id="rId7" xr:uid="{00000000-0004-0000-0100-000006000000}"/>
    <hyperlink ref="B103" r:id="rId8" xr:uid="{00000000-0004-0000-0100-000007000000}"/>
    <hyperlink ref="D19" r:id="rId9" display="Step 5: UVLO, OVLO &amp; PGD Thresholds" xr:uid="{00000000-0004-0000-0100-000008000000}"/>
    <hyperlink ref="D18" r:id="rId10" display="Step 4: Startup" xr:uid="{00000000-0004-0000-0100-000009000000}"/>
    <hyperlink ref="D17" r:id="rId11" display="Step 3: MOSFET Selection" xr:uid="{00000000-0004-0000-0100-00000A000000}"/>
    <hyperlink ref="D16:F16" r:id="rId12" display="Steps 1 &amp; 2: Operating Conditions, Current Limit, &amp; Circuit Breaker"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3000000}">
          <x14:formula1>
            <xm:f>0</xm:f>
          </x14:formula1>
          <x14:formula2>
            <xm:f>Equations!F82</xm:f>
          </x14:formula2>
          <xm:sqref>F70</xm:sqref>
        </x14:dataValidation>
        <x14:dataValidation type="decimal" allowBlank="1" showInputMessage="1" showErrorMessage="1" errorTitle="Ambient Temperature Violation" error="The Ambient Temperature must be between -40C and 125C" xr:uid="{00000000-0002-0000-0100-000014000000}">
          <x14:formula1>
            <xm:f>'Device Parameters'!C5</xm:f>
          </x14:formula1>
          <x14:formula2>
            <xm:f>'Device Parameters'!E5</xm:f>
          </x14:formula2>
          <xm:sqref>F37</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Parameters'!C4</xm:f>
          </x14:formula1>
          <x14:formula2>
            <xm:f>'Device Parameters'!E4</xm:f>
          </x14:formula2>
          <xm:sqref>F32:F35</xm:sqref>
        </x14:dataValidation>
        <x14:dataValidation type="decimal" allowBlank="1" showInputMessage="1" showErrorMessage="1" errorTitle="Ambient Temperature Violation" error="The Ambient Temperature must be between -40C and 125C" xr:uid="{00000000-0002-0000-0100-000017000000}">
          <x14:formula1>
            <xm:f>'Device Parameters'!C7</xm:f>
          </x14:formula1>
          <x14:formula2>
            <xm:f>'Device Parameters'!E7</xm:f>
          </x14:formula2>
          <xm:sqref>F36</xm:sqref>
        </x14:dataValidation>
        <x14:dataValidation type="decimal" operator="greaterThanOrEqual" allowBlank="1" showInputMessage="1" showErrorMessage="1" errorTitle="Minimum System Voltage Violation" error="The minimum system voltage must be at least 10V." xr:uid="{00000000-0002-0000-0100-000018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workbookViewId="0">
      <selection activeCell="H25" sqref="H25"/>
    </sheetView>
  </sheetViews>
  <sheetFormatPr defaultRowHeight="13.15"/>
  <cols>
    <col min="1" max="1" width="9.42578125" customWidth="1"/>
    <col min="2" max="2" width="24.28515625" customWidth="1"/>
    <col min="3" max="3" width="9.28515625" customWidth="1"/>
    <col min="12" max="12" width="13.5703125" customWidth="1"/>
  </cols>
  <sheetData>
    <row r="2" spans="1:17" ht="12.75">
      <c r="A2" s="242"/>
      <c r="B2" s="241"/>
      <c r="C2" s="242" t="s">
        <v>216</v>
      </c>
      <c r="D2" s="242" t="s">
        <v>217</v>
      </c>
      <c r="E2" s="242" t="s">
        <v>218</v>
      </c>
      <c r="F2" s="242" t="s">
        <v>175</v>
      </c>
      <c r="G2" s="241"/>
      <c r="H2" s="241"/>
      <c r="I2" s="241"/>
      <c r="J2" s="241"/>
      <c r="K2" s="241"/>
      <c r="L2" s="241"/>
      <c r="M2" s="241"/>
      <c r="N2" s="241"/>
      <c r="O2" s="241"/>
      <c r="P2" s="241"/>
      <c r="Q2" s="241"/>
    </row>
    <row r="3" spans="1:17" ht="12.75">
      <c r="A3" s="25" t="s">
        <v>219</v>
      </c>
      <c r="B3" s="241"/>
      <c r="C3" s="242"/>
      <c r="D3" s="242"/>
      <c r="E3" s="242"/>
      <c r="F3" s="241"/>
      <c r="G3" s="241"/>
      <c r="H3" s="241"/>
      <c r="I3" s="241"/>
      <c r="J3" s="241"/>
      <c r="K3" s="241"/>
      <c r="L3" s="241"/>
      <c r="M3" s="241"/>
      <c r="N3" s="241"/>
      <c r="O3" s="241"/>
      <c r="P3" s="241"/>
      <c r="Q3" s="241"/>
    </row>
    <row r="4" spans="1:17" ht="12.75">
      <c r="A4" s="25"/>
      <c r="B4" s="242" t="s">
        <v>220</v>
      </c>
      <c r="C4" s="239">
        <v>-40</v>
      </c>
      <c r="D4" s="239"/>
      <c r="E4" s="239">
        <v>125</v>
      </c>
      <c r="F4" s="241"/>
      <c r="G4" s="241"/>
      <c r="H4" s="241"/>
      <c r="I4" s="241"/>
      <c r="J4" s="241"/>
      <c r="K4" s="241"/>
      <c r="L4" s="241"/>
      <c r="M4" s="241"/>
      <c r="N4" s="241"/>
      <c r="O4" s="241"/>
      <c r="P4" s="241"/>
      <c r="Q4" s="241"/>
    </row>
    <row r="5" spans="1:17" ht="12.75">
      <c r="A5" s="241"/>
      <c r="B5" s="30" t="s">
        <v>221</v>
      </c>
      <c r="C5" s="302">
        <v>10</v>
      </c>
      <c r="D5" s="302"/>
      <c r="E5" s="302">
        <v>80</v>
      </c>
      <c r="F5" s="242" t="s">
        <v>40</v>
      </c>
      <c r="G5" s="241"/>
      <c r="H5" s="241"/>
      <c r="I5" s="241"/>
      <c r="J5" s="1"/>
      <c r="K5" s="241"/>
      <c r="L5" s="241"/>
      <c r="M5" s="241"/>
      <c r="N5" s="241"/>
      <c r="O5" s="241"/>
      <c r="P5" s="241"/>
      <c r="Q5" s="241"/>
    </row>
    <row r="6" spans="1:17" ht="16.5" customHeight="1">
      <c r="A6" s="25" t="s">
        <v>222</v>
      </c>
      <c r="B6" s="30"/>
      <c r="C6" s="302"/>
      <c r="D6" s="302"/>
      <c r="E6" s="302"/>
      <c r="F6" s="241"/>
      <c r="G6" s="241"/>
      <c r="H6" s="241"/>
      <c r="I6" s="241"/>
      <c r="J6" s="1"/>
      <c r="K6" s="241"/>
      <c r="L6" s="241"/>
      <c r="M6" s="241"/>
      <c r="N6" s="241"/>
      <c r="O6" s="241"/>
      <c r="P6" s="241"/>
      <c r="Q6" s="241"/>
    </row>
    <row r="7" spans="1:17" ht="12.75">
      <c r="A7" s="241"/>
      <c r="B7" s="30" t="s">
        <v>223</v>
      </c>
      <c r="C7" s="302">
        <v>23.4</v>
      </c>
      <c r="D7" s="302">
        <v>26</v>
      </c>
      <c r="E7" s="302">
        <v>28.6</v>
      </c>
      <c r="F7" s="241"/>
      <c r="G7" s="241"/>
      <c r="H7" s="241"/>
      <c r="I7" s="241"/>
      <c r="J7" s="1"/>
      <c r="K7" s="241"/>
      <c r="L7" s="241"/>
      <c r="M7" s="241"/>
      <c r="N7" s="241"/>
      <c r="O7" s="241"/>
      <c r="P7" s="241"/>
      <c r="Q7" s="241"/>
    </row>
    <row r="8" spans="1:17" ht="12.75">
      <c r="A8" s="241"/>
      <c r="B8" s="30" t="s">
        <v>224</v>
      </c>
      <c r="C8" s="302">
        <v>45</v>
      </c>
      <c r="D8" s="302">
        <v>50</v>
      </c>
      <c r="E8" s="302">
        <v>55</v>
      </c>
      <c r="F8" s="241"/>
      <c r="G8" s="241"/>
      <c r="H8" s="241"/>
      <c r="I8" s="241"/>
      <c r="J8" s="30"/>
      <c r="K8" s="241"/>
      <c r="L8" s="241"/>
      <c r="M8" s="241"/>
      <c r="N8" s="241"/>
      <c r="O8" s="241"/>
      <c r="P8" s="241"/>
      <c r="Q8" s="241"/>
    </row>
    <row r="9" spans="1:17" ht="12.75">
      <c r="A9" s="241"/>
      <c r="B9" s="30" t="s">
        <v>225</v>
      </c>
      <c r="C9" s="302">
        <v>20</v>
      </c>
      <c r="D9" s="302">
        <v>25</v>
      </c>
      <c r="E9" s="302">
        <v>35</v>
      </c>
      <c r="F9" s="242" t="s">
        <v>226</v>
      </c>
      <c r="G9" s="241"/>
      <c r="H9" s="241"/>
      <c r="I9" s="241"/>
      <c r="J9" s="30"/>
      <c r="K9" s="241"/>
      <c r="L9" s="241"/>
      <c r="M9" s="241"/>
      <c r="N9" s="241"/>
      <c r="O9" s="241"/>
      <c r="P9" s="241"/>
      <c r="Q9" s="241"/>
    </row>
    <row r="10" spans="1:17" ht="12.75">
      <c r="A10" s="241"/>
      <c r="B10" s="241"/>
      <c r="C10" s="302"/>
      <c r="D10" s="302"/>
      <c r="E10" s="302"/>
      <c r="F10" s="241"/>
      <c r="G10" s="241"/>
      <c r="H10" s="241"/>
      <c r="I10" s="241"/>
      <c r="J10" s="241"/>
      <c r="K10" s="241"/>
      <c r="L10" s="241"/>
      <c r="M10" s="241"/>
      <c r="N10" s="241"/>
      <c r="O10" s="241"/>
      <c r="P10" s="241"/>
      <c r="Q10" s="241"/>
    </row>
    <row r="11" spans="1:17" ht="12.75">
      <c r="A11" s="25" t="s">
        <v>179</v>
      </c>
      <c r="B11" s="241"/>
      <c r="C11" s="302"/>
      <c r="D11" s="302"/>
      <c r="E11" s="302"/>
      <c r="F11" s="241"/>
      <c r="G11" s="241"/>
      <c r="H11" s="241"/>
      <c r="I11" s="241"/>
      <c r="J11" s="241"/>
      <c r="K11" s="241"/>
      <c r="L11" s="241"/>
      <c r="M11" s="241"/>
      <c r="N11" s="241"/>
      <c r="O11" s="241"/>
      <c r="P11" s="241"/>
      <c r="Q11" s="241"/>
    </row>
    <row r="12" spans="1:17" ht="12.75">
      <c r="A12" s="241"/>
      <c r="B12" s="242" t="s">
        <v>227</v>
      </c>
      <c r="C12" s="302"/>
      <c r="D12" s="302"/>
      <c r="E12" s="302">
        <v>1E-3</v>
      </c>
      <c r="F12" s="242" t="s">
        <v>40</v>
      </c>
      <c r="G12" s="241"/>
      <c r="H12" s="241"/>
      <c r="I12" s="241"/>
      <c r="J12" s="241"/>
      <c r="K12" s="241"/>
      <c r="L12" s="241"/>
      <c r="M12" s="241"/>
      <c r="N12" s="241"/>
      <c r="O12" s="241"/>
      <c r="P12" s="241"/>
      <c r="Q12" s="241"/>
    </row>
    <row r="13" spans="1:17" ht="12.75">
      <c r="A13" s="241"/>
      <c r="B13" s="242" t="s">
        <v>228</v>
      </c>
      <c r="C13" s="302"/>
      <c r="D13" s="302"/>
      <c r="E13" s="302">
        <v>4.0000000000000001E-3</v>
      </c>
      <c r="F13" s="242" t="s">
        <v>40</v>
      </c>
      <c r="G13" s="242" t="s">
        <v>229</v>
      </c>
      <c r="H13" s="241"/>
      <c r="I13" s="241"/>
      <c r="J13" s="241"/>
      <c r="K13" s="241"/>
      <c r="L13" s="241"/>
      <c r="M13" s="241"/>
      <c r="N13" s="241"/>
      <c r="O13" s="241"/>
      <c r="P13" s="241"/>
      <c r="Q13" s="241"/>
    </row>
    <row r="14" spans="1:17" ht="12.75">
      <c r="A14" s="241"/>
      <c r="B14" s="242" t="s">
        <v>230</v>
      </c>
      <c r="C14" s="302"/>
      <c r="D14" s="302"/>
      <c r="E14" s="150">
        <f>1/(0.000007)</f>
        <v>142857.14285714287</v>
      </c>
      <c r="F14" s="242"/>
      <c r="G14" s="241"/>
      <c r="H14" s="241"/>
      <c r="I14" s="241"/>
      <c r="J14" s="241"/>
      <c r="K14" s="241"/>
      <c r="L14" s="241"/>
      <c r="M14" s="241"/>
      <c r="N14" s="241"/>
      <c r="O14" s="241"/>
      <c r="P14" s="241"/>
      <c r="Q14" s="241"/>
    </row>
    <row r="15" spans="1:17" ht="12.75">
      <c r="A15" s="241"/>
      <c r="B15" s="242"/>
      <c r="C15" s="302"/>
      <c r="D15" s="302"/>
      <c r="E15" s="150"/>
      <c r="F15" s="242"/>
      <c r="G15" s="241"/>
      <c r="H15" s="241"/>
      <c r="I15" s="241"/>
      <c r="J15" s="241"/>
      <c r="K15" s="241"/>
      <c r="L15" s="241"/>
      <c r="M15" s="241"/>
      <c r="N15" s="241"/>
      <c r="O15" s="241"/>
      <c r="P15" s="241"/>
      <c r="Q15" s="241"/>
    </row>
    <row r="16" spans="1:17" ht="12.75">
      <c r="A16" s="241"/>
      <c r="B16" s="242" t="s">
        <v>231</v>
      </c>
      <c r="C16" s="149" t="s">
        <v>232</v>
      </c>
      <c r="D16" s="302"/>
      <c r="E16" s="302"/>
      <c r="F16" s="242"/>
      <c r="G16" s="241"/>
      <c r="H16" s="241"/>
      <c r="I16" s="242" t="s">
        <v>233</v>
      </c>
      <c r="J16" s="242" t="s">
        <v>234</v>
      </c>
      <c r="K16" s="242" t="s">
        <v>235</v>
      </c>
      <c r="L16" s="242" t="s">
        <v>236</v>
      </c>
      <c r="M16" s="242" t="s">
        <v>237</v>
      </c>
      <c r="N16" s="242" t="s">
        <v>238</v>
      </c>
      <c r="O16" s="241"/>
      <c r="P16" s="242" t="s">
        <v>237</v>
      </c>
      <c r="Q16" s="242" t="s">
        <v>235</v>
      </c>
    </row>
    <row r="17" spans="1:17" ht="12.75">
      <c r="A17" s="241"/>
      <c r="B17" s="242"/>
      <c r="C17" s="149" t="s">
        <v>239</v>
      </c>
      <c r="D17" s="302"/>
      <c r="E17" s="302"/>
      <c r="F17" s="242"/>
      <c r="G17" s="241"/>
      <c r="H17" s="241"/>
      <c r="I17" s="241"/>
      <c r="J17" s="241">
        <v>12</v>
      </c>
      <c r="K17" s="241">
        <v>25</v>
      </c>
      <c r="L17" s="241">
        <f>0.5</f>
        <v>0.5</v>
      </c>
      <c r="M17" s="152">
        <f>1/(0.001*L17)*(K17*1000/$E$14+J17*$E$12)</f>
        <v>374</v>
      </c>
      <c r="N17" s="151">
        <f>K17*1000/$E$14/J17+$E$12</f>
        <v>1.5583333333333331E-2</v>
      </c>
      <c r="O17" s="241"/>
      <c r="P17" s="241">
        <v>82</v>
      </c>
      <c r="Q17" s="241">
        <f>E14*(P17*L17*0.001-J17*E12)</f>
        <v>4142.8571428571431</v>
      </c>
    </row>
    <row r="18" spans="1:17" ht="12.75">
      <c r="A18" s="241"/>
      <c r="B18" s="242"/>
      <c r="C18" s="149" t="s">
        <v>240</v>
      </c>
      <c r="D18" s="302"/>
      <c r="E18" s="302"/>
      <c r="F18" s="242"/>
      <c r="G18" s="241"/>
      <c r="H18" s="241"/>
      <c r="I18" s="241"/>
      <c r="J18" s="241">
        <v>12</v>
      </c>
      <c r="K18" s="241">
        <v>5</v>
      </c>
      <c r="L18" s="241">
        <f>0.5</f>
        <v>0.5</v>
      </c>
      <c r="M18" s="152">
        <f>1/(0.001*L18)*(K18*1000/$E$14+J18*$E$12)</f>
        <v>94</v>
      </c>
      <c r="N18" s="151">
        <f>K18*1000/$E$14/J18+$E$12*0.001</f>
        <v>2.9176666666666665E-3</v>
      </c>
      <c r="O18" s="241"/>
      <c r="P18" s="241"/>
      <c r="Q18" s="241"/>
    </row>
    <row r="19" spans="1:17" ht="12.75">
      <c r="A19" s="241"/>
      <c r="B19" s="242" t="s">
        <v>241</v>
      </c>
      <c r="C19" s="241"/>
      <c r="D19" s="241"/>
      <c r="E19" s="302"/>
      <c r="F19" s="242"/>
      <c r="G19" s="241"/>
      <c r="H19" s="241"/>
      <c r="I19" s="242" t="s">
        <v>242</v>
      </c>
      <c r="J19" s="241"/>
      <c r="K19" s="241"/>
      <c r="L19" s="241"/>
      <c r="M19" s="152"/>
      <c r="N19" s="151"/>
      <c r="O19" s="241"/>
      <c r="P19" s="241"/>
      <c r="Q19" s="241"/>
    </row>
    <row r="20" spans="1:17" ht="12.75">
      <c r="A20" s="241"/>
      <c r="B20" s="241"/>
      <c r="C20" s="302"/>
      <c r="D20" s="302"/>
      <c r="E20" s="302"/>
      <c r="F20" s="241"/>
      <c r="G20" s="241"/>
      <c r="H20" s="241"/>
      <c r="I20" s="241"/>
      <c r="J20" s="241"/>
      <c r="K20" s="241"/>
      <c r="L20" s="241"/>
      <c r="M20" s="241"/>
      <c r="N20" s="241"/>
      <c r="O20" s="241"/>
      <c r="P20" s="241"/>
      <c r="Q20" s="241"/>
    </row>
    <row r="21" spans="1:17" ht="12.75">
      <c r="A21" s="25" t="s">
        <v>243</v>
      </c>
      <c r="B21" s="241"/>
      <c r="C21" s="302"/>
      <c r="D21" s="302"/>
      <c r="E21" s="302"/>
      <c r="F21" s="241"/>
      <c r="G21" s="241"/>
      <c r="H21" s="241"/>
      <c r="I21" s="241"/>
      <c r="J21" s="241"/>
      <c r="K21" s="241"/>
      <c r="L21" s="241"/>
      <c r="M21" s="241"/>
      <c r="N21" s="241"/>
      <c r="O21" s="241"/>
      <c r="P21" s="241"/>
      <c r="Q21" s="241"/>
    </row>
    <row r="22" spans="1:17" ht="12.75">
      <c r="A22" s="241"/>
      <c r="B22" s="30" t="s">
        <v>244</v>
      </c>
      <c r="C22" s="302">
        <v>3.74</v>
      </c>
      <c r="D22" s="302">
        <v>3.9</v>
      </c>
      <c r="E22" s="302">
        <v>4.07</v>
      </c>
      <c r="F22" s="242" t="s">
        <v>40</v>
      </c>
      <c r="G22" s="241"/>
      <c r="H22" s="241"/>
      <c r="I22" s="241"/>
      <c r="J22" s="241"/>
      <c r="K22" s="241"/>
      <c r="L22" s="241"/>
      <c r="M22" s="241"/>
      <c r="N22" s="241"/>
      <c r="O22" s="241"/>
      <c r="P22" s="241"/>
      <c r="Q22" s="241"/>
    </row>
    <row r="23" spans="1:17" ht="12.75">
      <c r="A23" s="241"/>
      <c r="B23" s="30" t="s">
        <v>245</v>
      </c>
      <c r="C23" s="302">
        <v>-5.9</v>
      </c>
      <c r="D23" s="302">
        <v>-4.8</v>
      </c>
      <c r="E23" s="302">
        <v>-3.3</v>
      </c>
      <c r="F23" s="242" t="s">
        <v>226</v>
      </c>
      <c r="G23" s="241"/>
      <c r="H23" s="241"/>
      <c r="I23" s="241"/>
      <c r="J23" s="241"/>
      <c r="K23" s="241"/>
      <c r="L23" s="241"/>
      <c r="M23" s="241"/>
      <c r="N23" s="241"/>
      <c r="O23" s="241"/>
      <c r="P23" s="241"/>
      <c r="Q23" s="241"/>
    </row>
    <row r="24" spans="1:17" ht="12.75">
      <c r="A24" s="241"/>
      <c r="B24" s="30" t="s">
        <v>246</v>
      </c>
      <c r="C24" s="302"/>
      <c r="D24" s="302"/>
      <c r="E24" s="302"/>
      <c r="F24" s="242"/>
      <c r="G24" s="241"/>
      <c r="H24" s="241"/>
      <c r="I24" s="241"/>
      <c r="J24" s="241"/>
      <c r="K24" s="241"/>
      <c r="L24" s="241"/>
      <c r="M24" s="241"/>
      <c r="N24" s="241"/>
      <c r="O24" s="241"/>
      <c r="P24" s="241"/>
      <c r="Q24" s="241"/>
    </row>
    <row r="25" spans="1:17" ht="12.75">
      <c r="A25" s="241"/>
      <c r="B25" s="30" t="s">
        <v>247</v>
      </c>
      <c r="C25" s="302">
        <v>90</v>
      </c>
      <c r="D25" s="302">
        <v>75</v>
      </c>
      <c r="E25" s="302">
        <v>60</v>
      </c>
      <c r="F25" s="242" t="s">
        <v>226</v>
      </c>
      <c r="G25" s="241"/>
      <c r="H25" s="241"/>
      <c r="I25" s="241"/>
      <c r="J25" s="241"/>
      <c r="K25" s="241"/>
      <c r="L25" s="241"/>
      <c r="M25" s="241"/>
      <c r="N25" s="241"/>
      <c r="O25" s="241"/>
      <c r="P25" s="241"/>
      <c r="Q25" s="241"/>
    </row>
    <row r="26" spans="1:17" ht="12.75">
      <c r="A26" s="241"/>
      <c r="B26" s="30" t="s">
        <v>248</v>
      </c>
      <c r="C26" s="302"/>
      <c r="D26" s="302">
        <f>SQRT(0.66^2+ ((120-90)/90)^2+ 0.1^2)</f>
        <v>0.74613076006227697</v>
      </c>
      <c r="E26" s="302"/>
      <c r="F26" s="242"/>
      <c r="G26" s="242" t="s">
        <v>249</v>
      </c>
      <c r="H26" s="241"/>
      <c r="I26" s="241"/>
      <c r="J26" s="241"/>
      <c r="K26" s="241"/>
      <c r="L26" s="241"/>
      <c r="M26" s="241"/>
      <c r="N26" s="241"/>
      <c r="O26" s="241"/>
      <c r="P26" s="241"/>
      <c r="Q26" s="241"/>
    </row>
    <row r="27" spans="1:17" ht="12.75">
      <c r="A27" s="241"/>
      <c r="B27" s="30" t="s">
        <v>250</v>
      </c>
      <c r="C27" s="302"/>
      <c r="D27" s="302">
        <v>0.5</v>
      </c>
      <c r="E27" s="302"/>
      <c r="F27" s="242"/>
      <c r="G27" s="242" t="s">
        <v>251</v>
      </c>
      <c r="H27" s="241"/>
      <c r="I27" s="241"/>
      <c r="J27" s="241"/>
      <c r="K27" s="241"/>
      <c r="L27" s="241"/>
      <c r="M27" s="241"/>
      <c r="N27" s="241"/>
      <c r="O27" s="241"/>
      <c r="P27" s="241"/>
      <c r="Q27" s="241"/>
    </row>
    <row r="28" spans="1:17" ht="12.75">
      <c r="A28" s="241"/>
      <c r="B28" s="1"/>
      <c r="C28" s="302"/>
      <c r="D28" s="302"/>
      <c r="E28" s="302"/>
      <c r="F28" s="241"/>
      <c r="G28" s="241"/>
      <c r="H28" s="241"/>
      <c r="I28" s="241"/>
      <c r="J28" s="241"/>
      <c r="K28" s="241"/>
      <c r="L28" s="241"/>
      <c r="M28" s="241"/>
      <c r="N28" s="241"/>
      <c r="O28" s="241"/>
      <c r="P28" s="241"/>
      <c r="Q28" s="241"/>
    </row>
    <row r="29" spans="1:17" ht="12.75">
      <c r="A29" s="25" t="s">
        <v>252</v>
      </c>
      <c r="B29" s="1"/>
      <c r="C29" s="302"/>
      <c r="D29" s="302"/>
      <c r="E29" s="302"/>
      <c r="F29" s="241"/>
      <c r="G29" s="241"/>
      <c r="H29" s="241"/>
      <c r="I29" s="241"/>
      <c r="J29" s="241"/>
      <c r="K29" s="241"/>
      <c r="L29" s="241"/>
      <c r="M29" s="241"/>
      <c r="N29" s="241"/>
      <c r="O29" s="241"/>
      <c r="P29" s="241"/>
      <c r="Q29" s="241"/>
    </row>
    <row r="30" spans="1:17" ht="12.75">
      <c r="A30" s="241"/>
      <c r="B30" s="30" t="s">
        <v>253</v>
      </c>
      <c r="C30" s="302">
        <v>7.5</v>
      </c>
      <c r="D30" s="302">
        <v>20</v>
      </c>
      <c r="E30" s="302">
        <v>40</v>
      </c>
      <c r="F30" s="241"/>
      <c r="G30" s="241"/>
      <c r="H30" s="241"/>
      <c r="I30" s="241"/>
      <c r="J30" s="241"/>
      <c r="K30" s="241"/>
      <c r="L30" s="241"/>
      <c r="M30" s="241"/>
      <c r="N30" s="241"/>
      <c r="O30" s="241"/>
      <c r="P30" s="241"/>
      <c r="Q30" s="241"/>
    </row>
    <row r="31" spans="1:17" ht="12.75">
      <c r="A31" s="241"/>
      <c r="B31" s="1"/>
      <c r="C31" s="302"/>
      <c r="D31" s="302"/>
      <c r="E31" s="302"/>
      <c r="F31" s="241"/>
      <c r="G31" s="241"/>
      <c r="H31" s="241"/>
      <c r="I31" s="241"/>
      <c r="J31" s="241"/>
      <c r="K31" s="241"/>
      <c r="L31" s="241"/>
      <c r="M31" s="241"/>
      <c r="N31" s="241"/>
      <c r="O31" s="241"/>
      <c r="P31" s="241"/>
      <c r="Q31" s="241"/>
    </row>
    <row r="32" spans="1:17" ht="12.75">
      <c r="A32" s="25" t="s">
        <v>254</v>
      </c>
      <c r="B32" s="1"/>
      <c r="C32" s="343" t="s">
        <v>255</v>
      </c>
      <c r="D32" s="343"/>
      <c r="E32" s="343"/>
      <c r="F32" s="343" t="s">
        <v>256</v>
      </c>
      <c r="G32" s="343"/>
      <c r="H32" s="343"/>
      <c r="I32" s="241"/>
      <c r="J32" s="241"/>
      <c r="K32" s="241"/>
      <c r="L32" s="241"/>
      <c r="M32" s="241"/>
      <c r="N32" s="241"/>
      <c r="O32" s="241"/>
      <c r="P32" s="241"/>
      <c r="Q32" s="241"/>
    </row>
    <row r="33" spans="1:8" ht="12.75">
      <c r="A33" s="241"/>
      <c r="B33" s="30" t="s">
        <v>257</v>
      </c>
      <c r="C33" s="302">
        <v>38</v>
      </c>
      <c r="D33" s="302">
        <v>48</v>
      </c>
      <c r="E33" s="302">
        <v>58</v>
      </c>
      <c r="F33" s="302">
        <v>76</v>
      </c>
      <c r="G33" s="302">
        <v>96</v>
      </c>
      <c r="H33" s="302">
        <v>116</v>
      </c>
    </row>
    <row r="34" spans="1:8" ht="12.75">
      <c r="A34" s="241"/>
      <c r="B34" s="30" t="s">
        <v>258</v>
      </c>
      <c r="C34" s="302">
        <v>1.5</v>
      </c>
      <c r="D34" s="302">
        <v>1.88</v>
      </c>
      <c r="E34" s="302">
        <v>2.2999999999999998</v>
      </c>
      <c r="F34" s="302">
        <v>1.64</v>
      </c>
      <c r="G34" s="302">
        <v>1.94</v>
      </c>
      <c r="H34" s="302">
        <v>2.23</v>
      </c>
    </row>
    <row r="35" spans="1:8" ht="12.75">
      <c r="A35" s="241"/>
      <c r="B35" s="30" t="s">
        <v>259</v>
      </c>
      <c r="C35" s="302">
        <v>76</v>
      </c>
      <c r="D35" s="302">
        <v>96</v>
      </c>
      <c r="E35" s="302">
        <v>116</v>
      </c>
      <c r="F35" s="302">
        <v>155</v>
      </c>
      <c r="G35" s="302">
        <v>193</v>
      </c>
      <c r="H35" s="302">
        <v>235</v>
      </c>
    </row>
    <row r="36" spans="1:8" ht="12.75">
      <c r="A36" s="241"/>
      <c r="B36" s="30" t="s">
        <v>260</v>
      </c>
      <c r="C36" s="302">
        <v>3.1</v>
      </c>
      <c r="D36" s="302">
        <v>3.75</v>
      </c>
      <c r="E36" s="302">
        <v>4.45</v>
      </c>
      <c r="F36" s="302">
        <v>3.28</v>
      </c>
      <c r="G36" s="302">
        <v>3.87</v>
      </c>
      <c r="H36" s="302">
        <v>4.45</v>
      </c>
    </row>
    <row r="37" spans="1:8" ht="12.75">
      <c r="A37" s="241"/>
      <c r="B37" s="1"/>
      <c r="C37" s="302"/>
      <c r="D37" s="302"/>
      <c r="E37" s="302"/>
      <c r="F37" s="241"/>
      <c r="G37" s="241"/>
      <c r="H37" s="241"/>
    </row>
    <row r="38" spans="1:8" ht="12.75">
      <c r="A38" s="25" t="s">
        <v>261</v>
      </c>
      <c r="B38" s="1"/>
      <c r="C38" s="241"/>
      <c r="D38" s="241"/>
      <c r="E38" s="241"/>
      <c r="F38" s="241"/>
      <c r="G38" s="241"/>
      <c r="H38" s="241"/>
    </row>
    <row r="39" spans="1:8" ht="12.75">
      <c r="A39" s="241"/>
      <c r="B39" s="30" t="s">
        <v>244</v>
      </c>
      <c r="C39" s="241">
        <v>3.74</v>
      </c>
      <c r="D39" s="241">
        <v>3.9</v>
      </c>
      <c r="E39" s="241">
        <v>4.07</v>
      </c>
      <c r="F39" s="241"/>
      <c r="G39" s="241"/>
      <c r="H39" s="241"/>
    </row>
    <row r="40" spans="1:8" ht="12.75">
      <c r="A40" s="241"/>
      <c r="B40" s="30" t="s">
        <v>262</v>
      </c>
      <c r="C40" s="241">
        <v>1</v>
      </c>
      <c r="D40" s="241">
        <v>1.2</v>
      </c>
      <c r="E40" s="241">
        <v>1.4</v>
      </c>
      <c r="F40" s="241"/>
      <c r="G40" s="241"/>
      <c r="H40" s="241"/>
    </row>
    <row r="41" spans="1:8" ht="12.75">
      <c r="A41" s="241"/>
      <c r="B41" s="30" t="s">
        <v>263</v>
      </c>
      <c r="C41" s="241"/>
      <c r="D41" s="241">
        <v>0.3</v>
      </c>
      <c r="E41" s="241"/>
      <c r="F41" s="241"/>
      <c r="G41" s="241"/>
      <c r="H41" s="241"/>
    </row>
    <row r="42" spans="1:8" ht="12.75">
      <c r="A42" s="241"/>
      <c r="B42" s="30" t="s">
        <v>264</v>
      </c>
      <c r="C42" s="241"/>
      <c r="D42" s="241">
        <v>0.3</v>
      </c>
      <c r="E42" s="241"/>
      <c r="F42" s="241"/>
      <c r="G42" s="241"/>
      <c r="H42" s="241"/>
    </row>
    <row r="43" spans="1:8" ht="12.75">
      <c r="A43" s="241"/>
      <c r="B43" s="30" t="s">
        <v>265</v>
      </c>
      <c r="C43" s="241">
        <v>3.3</v>
      </c>
      <c r="D43" s="241">
        <v>4.8</v>
      </c>
      <c r="E43" s="241">
        <v>5.9</v>
      </c>
      <c r="F43" s="241"/>
      <c r="G43" s="241"/>
      <c r="H43" s="241"/>
    </row>
    <row r="44" spans="1:8" ht="12.75">
      <c r="A44" s="241"/>
      <c r="B44" s="30" t="s">
        <v>266</v>
      </c>
      <c r="C44" s="241">
        <v>0.9</v>
      </c>
      <c r="D44" s="241">
        <v>1.5</v>
      </c>
      <c r="E44" s="241">
        <v>2.1</v>
      </c>
      <c r="F44" s="241"/>
      <c r="G44" s="241"/>
      <c r="H44" s="241"/>
    </row>
    <row r="45" spans="1:8" ht="12.75">
      <c r="A45" s="241"/>
      <c r="B45" s="30" t="s">
        <v>247</v>
      </c>
      <c r="C45" s="241">
        <v>60</v>
      </c>
      <c r="D45" s="241">
        <v>75</v>
      </c>
      <c r="E45" s="241">
        <v>90</v>
      </c>
      <c r="F45" s="241"/>
      <c r="G45" s="241"/>
      <c r="H45" s="241"/>
    </row>
    <row r="46" spans="1:8" ht="12.75">
      <c r="A46" s="241"/>
      <c r="B46" s="30" t="s">
        <v>267</v>
      </c>
      <c r="C46" s="241">
        <v>1.7</v>
      </c>
      <c r="D46" s="241">
        <v>2.8</v>
      </c>
      <c r="E46" s="241">
        <v>3.2</v>
      </c>
      <c r="F46" s="241"/>
      <c r="G46" s="241"/>
      <c r="H46" s="241"/>
    </row>
    <row r="48" spans="1:8" ht="12.75">
      <c r="A48" s="25" t="s">
        <v>268</v>
      </c>
      <c r="B48" s="241"/>
      <c r="C48" s="241"/>
      <c r="D48" s="241"/>
      <c r="E48" s="241"/>
      <c r="F48" s="241"/>
      <c r="G48" s="241"/>
      <c r="H48" s="241"/>
    </row>
    <row r="49" spans="1:8" ht="12.75">
      <c r="A49" s="241"/>
      <c r="B49" s="30" t="s">
        <v>269</v>
      </c>
      <c r="C49" s="241"/>
      <c r="D49" s="241">
        <v>100</v>
      </c>
      <c r="E49" s="241">
        <v>400</v>
      </c>
      <c r="F49" s="242" t="s">
        <v>270</v>
      </c>
      <c r="G49" s="241">
        <v>2</v>
      </c>
      <c r="H49" s="242" t="s">
        <v>271</v>
      </c>
    </row>
    <row r="50" spans="1:8" ht="12.75">
      <c r="A50" s="25" t="s">
        <v>272</v>
      </c>
      <c r="B50" s="241"/>
      <c r="C50" s="241"/>
      <c r="D50" s="241"/>
      <c r="E50" s="241"/>
      <c r="F50" s="241"/>
      <c r="G50" s="241"/>
      <c r="H50" s="241"/>
    </row>
    <row r="51" spans="1:8" ht="12.75">
      <c r="A51" s="241"/>
      <c r="B51" s="242" t="s">
        <v>273</v>
      </c>
      <c r="C51" s="241">
        <v>2.41</v>
      </c>
      <c r="D51" s="241">
        <v>2.46</v>
      </c>
      <c r="E51" s="241">
        <v>2.52</v>
      </c>
      <c r="F51" s="242" t="s">
        <v>40</v>
      </c>
      <c r="G51" s="241"/>
      <c r="H51" s="241"/>
    </row>
    <row r="52" spans="1:8" ht="12.75">
      <c r="A52" s="241"/>
      <c r="B52" s="242" t="s">
        <v>274</v>
      </c>
      <c r="C52" s="241">
        <v>15</v>
      </c>
      <c r="D52" s="241">
        <v>20</v>
      </c>
      <c r="E52" s="241">
        <v>25</v>
      </c>
      <c r="F52" s="242" t="s">
        <v>226</v>
      </c>
      <c r="G52" s="241"/>
      <c r="H52" s="241"/>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Y273"/>
  <sheetViews>
    <sheetView topLeftCell="G232" workbookViewId="0">
      <selection activeCell="E34" sqref="E34"/>
    </sheetView>
  </sheetViews>
  <sheetFormatPr defaultRowHeight="13.15"/>
  <cols>
    <col min="6" max="6" width="12.42578125" bestFit="1" customWidth="1"/>
    <col min="8" max="8" width="14" customWidth="1"/>
    <col min="9" max="9" width="12.7109375" customWidth="1"/>
    <col min="10" max="10" width="11.7109375" customWidth="1"/>
  </cols>
  <sheetData>
    <row r="2" spans="1:8" ht="12.75">
      <c r="A2" s="25" t="s">
        <v>222</v>
      </c>
      <c r="B2" s="241"/>
      <c r="C2" s="241"/>
      <c r="D2" s="241"/>
      <c r="E2" s="241"/>
      <c r="F2" s="241"/>
      <c r="G2" s="241"/>
      <c r="H2" s="241"/>
    </row>
    <row r="3" spans="1:8" ht="12.75">
      <c r="A3" s="241"/>
      <c r="B3" s="241"/>
      <c r="C3" s="241"/>
      <c r="D3" s="241"/>
      <c r="E3" s="1"/>
      <c r="F3" s="241"/>
      <c r="G3" s="241"/>
      <c r="H3" s="241"/>
    </row>
    <row r="4" spans="1:8" ht="12.75">
      <c r="A4" s="241"/>
      <c r="B4" s="241"/>
      <c r="C4" s="241"/>
      <c r="D4" s="241" t="s">
        <v>275</v>
      </c>
      <c r="E4" s="241">
        <f>IF('Design Calculator'!$F$38="26 mV",'Device Parameters'!C7,'Device Parameters'!C8)</f>
        <v>23.4</v>
      </c>
      <c r="F4" s="98" t="s">
        <v>270</v>
      </c>
      <c r="G4" s="241"/>
      <c r="H4" s="241"/>
    </row>
    <row r="5" spans="1:8" ht="12.75">
      <c r="A5" s="241"/>
      <c r="B5" s="241"/>
      <c r="C5" s="241"/>
      <c r="D5" s="241" t="s">
        <v>276</v>
      </c>
      <c r="E5" s="241">
        <f>IF('Design Calculator'!$F$38="26 mV",'Device Parameters'!D7,'Device Parameters'!D8)</f>
        <v>26</v>
      </c>
      <c r="F5" s="98" t="s">
        <v>270</v>
      </c>
      <c r="G5" s="241"/>
      <c r="H5" s="241"/>
    </row>
    <row r="6" spans="1:8" ht="12.75">
      <c r="A6" s="241"/>
      <c r="B6" s="241"/>
      <c r="C6" s="241"/>
      <c r="D6" s="241" t="s">
        <v>277</v>
      </c>
      <c r="E6" s="241">
        <f>IF('Design Calculator'!$F$38="26 mV",'Device Parameters'!E7,'Device Parameters'!E8)</f>
        <v>28.6</v>
      </c>
      <c r="F6" s="98" t="s">
        <v>270</v>
      </c>
      <c r="G6" s="241"/>
      <c r="H6" s="241"/>
    </row>
    <row r="7" spans="1:8" ht="12.75">
      <c r="A7" s="241"/>
      <c r="B7" s="241"/>
      <c r="C7" s="241"/>
      <c r="D7" s="241"/>
      <c r="E7" s="1"/>
      <c r="F7" s="241"/>
      <c r="G7" s="241"/>
      <c r="H7" s="241"/>
    </row>
    <row r="8" spans="1:8" ht="12.75">
      <c r="A8" s="25"/>
      <c r="B8" s="241"/>
      <c r="C8" s="241"/>
      <c r="D8" s="241"/>
      <c r="E8" s="1"/>
      <c r="F8" s="241"/>
      <c r="G8" s="241"/>
      <c r="H8" s="241"/>
    </row>
    <row r="9" spans="1:8" ht="12.75">
      <c r="A9" s="241"/>
      <c r="B9" s="241"/>
      <c r="C9" s="241"/>
      <c r="D9" s="241"/>
      <c r="E9" s="1" t="s">
        <v>278</v>
      </c>
      <c r="F9" s="241">
        <f>CLMIN_Threshold/('Design Calculator'!F30*1.01)</f>
        <v>1.5445544554455444</v>
      </c>
      <c r="G9" s="241"/>
      <c r="H9" s="241"/>
    </row>
    <row r="10" spans="1:8" ht="12.75">
      <c r="A10" s="241"/>
      <c r="B10" s="241"/>
      <c r="C10" s="241"/>
      <c r="D10" s="241"/>
      <c r="E10" s="30" t="s">
        <v>279</v>
      </c>
      <c r="F10" s="242" t="str">
        <f>IF(Rs&gt;RsMAX,10,"NA")</f>
        <v>NA</v>
      </c>
      <c r="G10" s="241"/>
      <c r="H10" s="241"/>
    </row>
    <row r="11" spans="1:8" ht="12.75">
      <c r="A11" s="241"/>
      <c r="B11" s="241"/>
      <c r="C11" s="241"/>
      <c r="D11" s="241"/>
      <c r="E11" s="30" t="s">
        <v>280</v>
      </c>
      <c r="F11" s="241" t="str">
        <f>IF(Rs&gt;RsMAX,(((IOUTMAX*Rs)/CLMIN_Threshold)-1)*F10,"NA")</f>
        <v>NA</v>
      </c>
      <c r="G11" s="241"/>
      <c r="H11" s="241"/>
    </row>
    <row r="12" spans="1:8" ht="12.75">
      <c r="A12" s="241"/>
      <c r="B12" s="241"/>
      <c r="C12" s="241"/>
      <c r="D12" s="241"/>
      <c r="E12" s="30" t="s">
        <v>281</v>
      </c>
      <c r="F12" s="241">
        <f>IF(RsMAX&gt;Rs,Rs,IF('Design Calculator'!F40="Yes",IF(Rs&gt;RsMAX,Rs/(1+RDIV2/RDIV1),Rs),Rs))</f>
        <v>1.5</v>
      </c>
      <c r="G12" s="241"/>
      <c r="H12" s="134"/>
    </row>
    <row r="13" spans="1:8" ht="12.75">
      <c r="A13" s="241"/>
      <c r="B13" s="241"/>
      <c r="C13" s="241"/>
      <c r="D13" s="241"/>
      <c r="E13" s="1" t="s">
        <v>282</v>
      </c>
      <c r="F13" s="3">
        <f>CLMIN_Threshold/RsEFF</f>
        <v>15.6</v>
      </c>
      <c r="G13" s="3"/>
      <c r="H13" s="241"/>
    </row>
    <row r="14" spans="1:8" ht="12.75">
      <c r="A14" s="241"/>
      <c r="B14" s="241"/>
      <c r="C14" s="241"/>
      <c r="D14" s="241"/>
      <c r="E14" s="1" t="s">
        <v>283</v>
      </c>
      <c r="F14" s="241">
        <f>CLNOM_Threshold/RsEFF</f>
        <v>17.333333333333332</v>
      </c>
      <c r="G14" s="241"/>
      <c r="H14" s="241"/>
    </row>
    <row r="15" spans="1:8" ht="12.75">
      <c r="A15" s="241"/>
      <c r="B15" s="241"/>
      <c r="C15" s="241"/>
      <c r="D15" s="241"/>
      <c r="E15" s="1" t="s">
        <v>284</v>
      </c>
      <c r="F15" s="241">
        <f>CLMAX_Threshold/RsEFF</f>
        <v>19.066666666666666</v>
      </c>
      <c r="G15" s="241"/>
      <c r="H15" s="241"/>
    </row>
    <row r="16" spans="1:8" ht="12.75">
      <c r="A16" s="241"/>
      <c r="B16" s="241"/>
      <c r="C16" s="241"/>
      <c r="D16" s="241"/>
      <c r="E16" s="1" t="s">
        <v>285</v>
      </c>
      <c r="F16" s="241">
        <f>F15^2*'Design Calculator'!F41</f>
        <v>545.30666666666662</v>
      </c>
      <c r="G16" s="241"/>
      <c r="H16" s="241"/>
    </row>
    <row r="18" spans="1:8" s="241" customFormat="1" ht="12.75"/>
    <row r="19" spans="1:8" s="241" customFormat="1" ht="12.75">
      <c r="E19" s="30" t="s">
        <v>286</v>
      </c>
      <c r="F19" s="241">
        <f>CLNOM_Threshold*IF('Design Calculator'!F52 = "1.9 x Current Limit", 1.9, 3.9)</f>
        <v>49.4</v>
      </c>
      <c r="G19" s="242" t="s">
        <v>270</v>
      </c>
    </row>
    <row r="20" spans="1:8" ht="16.149999999999999" customHeight="1">
      <c r="A20" s="241"/>
      <c r="B20" s="241"/>
      <c r="C20" s="241"/>
      <c r="D20" s="241"/>
      <c r="E20" s="30" t="s">
        <v>287</v>
      </c>
      <c r="F20" s="241">
        <f>F19/RsEFF</f>
        <v>32.93333333333333</v>
      </c>
      <c r="G20" s="242" t="s">
        <v>44</v>
      </c>
      <c r="H20" s="241"/>
    </row>
    <row r="21" spans="1:8" ht="12.75">
      <c r="A21" s="241"/>
      <c r="B21" s="241"/>
      <c r="C21" s="241"/>
      <c r="D21" s="241"/>
      <c r="E21" s="1"/>
      <c r="F21" s="241"/>
      <c r="G21" s="241"/>
      <c r="H21" s="241"/>
    </row>
    <row r="22" spans="1:8" ht="12.75">
      <c r="A22" s="25" t="s">
        <v>288</v>
      </c>
      <c r="B22" s="241"/>
      <c r="C22" s="241"/>
      <c r="D22" s="241"/>
      <c r="E22" s="241"/>
      <c r="F22" s="241"/>
      <c r="G22" s="241"/>
      <c r="H22" s="241"/>
    </row>
    <row r="23" spans="1:8" ht="12.75">
      <c r="A23" s="242"/>
      <c r="B23" s="241"/>
      <c r="C23" s="241"/>
      <c r="D23" s="241"/>
      <c r="E23" s="241"/>
      <c r="F23" s="242" t="s">
        <v>289</v>
      </c>
      <c r="G23" s="241"/>
      <c r="H23" s="242" t="s">
        <v>290</v>
      </c>
    </row>
    <row r="24" spans="1:8" ht="12.75">
      <c r="A24" s="242"/>
      <c r="B24" s="241"/>
      <c r="C24" s="241"/>
      <c r="D24" s="241"/>
      <c r="E24" s="63" t="s">
        <v>291</v>
      </c>
      <c r="F24" s="64">
        <f>VINMAX*'Design Calculator'!F58</f>
        <v>6800</v>
      </c>
      <c r="G24" s="242" t="s">
        <v>59</v>
      </c>
      <c r="H24" s="241">
        <f>F24*(TJMAX-TJ)/(TJMAX-25)</f>
        <v>4091.3333333333335</v>
      </c>
    </row>
    <row r="25" spans="1:8" ht="12.75">
      <c r="A25" s="242"/>
      <c r="B25" s="241"/>
      <c r="C25" s="241"/>
      <c r="D25" s="241"/>
      <c r="E25" s="63" t="s">
        <v>292</v>
      </c>
      <c r="F25" s="64">
        <f>VINMAX*'Design Calculator'!F59</f>
        <v>1870</v>
      </c>
      <c r="G25" s="242" t="s">
        <v>59</v>
      </c>
      <c r="H25" s="241">
        <f>F25*(TJMAX-TJ)/(TJMAX-25)</f>
        <v>1125.1166666666666</v>
      </c>
    </row>
    <row r="26" spans="1:8" ht="12.75">
      <c r="A26" s="242"/>
      <c r="B26" s="241"/>
      <c r="C26" s="241"/>
      <c r="D26" s="241"/>
      <c r="E26" s="63" t="s">
        <v>293</v>
      </c>
      <c r="F26" s="64">
        <f>VINMAX*'Design Calculator'!F60</f>
        <v>595</v>
      </c>
      <c r="G26" s="242" t="s">
        <v>59</v>
      </c>
      <c r="H26" s="241">
        <f>F26*(TJMAX-TJ)/(TJMAX-25)</f>
        <v>357.99166666666667</v>
      </c>
    </row>
    <row r="27" spans="1:8" ht="12.75">
      <c r="A27" s="242"/>
      <c r="B27" s="241"/>
      <c r="C27" s="241"/>
      <c r="D27" s="241"/>
      <c r="E27" s="63" t="s">
        <v>294</v>
      </c>
      <c r="F27" s="64" t="e">
        <f>VINMAX*'Design Calculator'!F61</f>
        <v>#VALUE!</v>
      </c>
      <c r="G27" s="72" t="s">
        <v>59</v>
      </c>
      <c r="H27" s="241" t="e">
        <f>F27*(TJMAX-TJ)/(TJMAX-25)</f>
        <v>#VALUE!</v>
      </c>
    </row>
    <row r="28" spans="1:8" ht="12.75">
      <c r="A28" s="242"/>
      <c r="B28" s="241"/>
      <c r="C28" s="241"/>
      <c r="D28" s="241"/>
      <c r="E28" s="74"/>
      <c r="F28" s="73"/>
      <c r="G28" s="72"/>
      <c r="H28" s="241"/>
    </row>
    <row r="29" spans="1:8" ht="12.75">
      <c r="A29" s="242"/>
      <c r="B29" s="241"/>
      <c r="C29" s="241"/>
      <c r="D29" s="241"/>
      <c r="E29" s="74" t="s">
        <v>295</v>
      </c>
      <c r="F29" s="73">
        <f>VINMAX*'Device Parameters'!E13/RsEFF/0.001</f>
        <v>45.333333333333336</v>
      </c>
      <c r="G29" s="72" t="s">
        <v>59</v>
      </c>
      <c r="H29" s="241"/>
    </row>
    <row r="30" spans="1:8" ht="12.75">
      <c r="A30" s="242"/>
      <c r="B30" s="241"/>
      <c r="C30" s="241"/>
      <c r="D30" s="142"/>
      <c r="E30" s="74" t="s">
        <v>296</v>
      </c>
      <c r="F30" s="73">
        <f>'Design Calculator'!F66</f>
        <v>190</v>
      </c>
      <c r="G30" s="72" t="s">
        <v>59</v>
      </c>
      <c r="H30" s="142"/>
    </row>
    <row r="31" spans="1:8" ht="12.75">
      <c r="A31" s="242"/>
      <c r="B31" s="241"/>
      <c r="C31" s="241"/>
      <c r="D31" s="142"/>
      <c r="E31" s="74" t="s">
        <v>235</v>
      </c>
      <c r="F31" s="142">
        <f>'Device Parameters'!E14*(F30*RsEFF*0.001-0.043)/1000</f>
        <v>34.571428571428577</v>
      </c>
      <c r="G31" s="72" t="s">
        <v>297</v>
      </c>
      <c r="H31" s="142"/>
    </row>
    <row r="32" spans="1:8" ht="12.75">
      <c r="A32" s="242"/>
      <c r="B32" s="241"/>
      <c r="C32" s="241"/>
      <c r="D32" s="142"/>
      <c r="E32" s="74" t="s">
        <v>298</v>
      </c>
      <c r="F32" s="73">
        <f>RPWR</f>
        <v>34</v>
      </c>
      <c r="G32" s="72" t="s">
        <v>297</v>
      </c>
      <c r="H32" s="142"/>
    </row>
    <row r="33" spans="1:12" ht="12.75">
      <c r="A33" s="242"/>
      <c r="B33" s="241"/>
      <c r="C33" s="241"/>
      <c r="D33" s="142"/>
      <c r="E33" s="74" t="s">
        <v>299</v>
      </c>
      <c r="F33" s="207">
        <f>1/RsEFF*1000*(Equations!F32*1000/'Device Parameters'!E14+0.043)</f>
        <v>187.33333333333331</v>
      </c>
      <c r="G33" s="72" t="s">
        <v>59</v>
      </c>
      <c r="H33" s="142"/>
      <c r="I33" s="241"/>
      <c r="J33" s="241"/>
      <c r="K33" s="241"/>
      <c r="L33" s="241"/>
    </row>
    <row r="34" spans="1:12" ht="12.75">
      <c r="A34" s="242"/>
      <c r="B34" s="241"/>
      <c r="C34" s="241"/>
      <c r="D34" s="142"/>
      <c r="E34" s="74"/>
      <c r="F34" s="142"/>
      <c r="G34" s="72"/>
      <c r="H34" s="142"/>
      <c r="I34" s="241"/>
      <c r="J34" s="241"/>
      <c r="K34" s="241"/>
      <c r="L34" s="241"/>
    </row>
    <row r="35" spans="1:12" ht="12.75">
      <c r="A35" s="242"/>
      <c r="B35" s="241"/>
      <c r="C35" s="241"/>
      <c r="D35" s="142"/>
      <c r="E35" s="74"/>
      <c r="F35" s="142"/>
      <c r="G35" s="72"/>
      <c r="H35" s="142"/>
      <c r="I35" s="241"/>
      <c r="J35" s="241"/>
      <c r="K35" s="241"/>
      <c r="L35" s="241"/>
    </row>
    <row r="36" spans="1:12" ht="12.75">
      <c r="A36" s="242"/>
      <c r="B36" s="241"/>
      <c r="C36" s="241"/>
      <c r="D36" s="142"/>
      <c r="E36" s="74"/>
      <c r="F36" s="142"/>
      <c r="G36" s="72"/>
      <c r="H36" s="142"/>
      <c r="I36" s="241"/>
      <c r="J36" s="241"/>
      <c r="K36" s="241"/>
      <c r="L36" s="241"/>
    </row>
    <row r="37" spans="1:12" ht="12.75">
      <c r="A37" s="241"/>
      <c r="B37" s="241"/>
      <c r="C37" s="241"/>
      <c r="D37" s="142"/>
      <c r="E37" s="208" t="s">
        <v>300</v>
      </c>
      <c r="F37" s="209">
        <f>F38*(1-0.24)</f>
        <v>142.37333333333331</v>
      </c>
      <c r="G37" s="142" t="s">
        <v>301</v>
      </c>
      <c r="H37" s="142"/>
      <c r="I37" s="241"/>
      <c r="J37" s="241"/>
      <c r="K37" s="241"/>
      <c r="L37" s="241"/>
    </row>
    <row r="38" spans="1:12" ht="12.75">
      <c r="A38" s="241"/>
      <c r="B38" s="241"/>
      <c r="C38" s="241"/>
      <c r="D38" s="142"/>
      <c r="E38" s="208" t="s">
        <v>302</v>
      </c>
      <c r="F38" s="209">
        <f>F33</f>
        <v>187.33333333333331</v>
      </c>
      <c r="G38" s="142"/>
      <c r="H38" s="142"/>
      <c r="I38" s="241"/>
      <c r="J38" s="241"/>
      <c r="K38" s="241"/>
      <c r="L38" s="241"/>
    </row>
    <row r="39" spans="1:12" ht="12.75">
      <c r="A39" s="241"/>
      <c r="B39" s="241"/>
      <c r="C39" s="241"/>
      <c r="D39" s="142"/>
      <c r="E39" s="208" t="s">
        <v>303</v>
      </c>
      <c r="F39" s="209">
        <f>F38*(1+0.24)</f>
        <v>232.29333333333332</v>
      </c>
      <c r="G39" s="142"/>
      <c r="H39" s="142"/>
      <c r="I39" s="241"/>
      <c r="J39" s="241"/>
      <c r="K39" s="241"/>
      <c r="L39" s="241"/>
    </row>
    <row r="40" spans="1:12" ht="12.75">
      <c r="A40" s="241"/>
      <c r="B40" s="241"/>
      <c r="C40" s="241"/>
      <c r="D40" s="142"/>
      <c r="E40" s="208"/>
      <c r="F40" s="210"/>
      <c r="G40" s="142"/>
      <c r="H40" s="208"/>
      <c r="I40" s="302"/>
      <c r="J40" s="241"/>
      <c r="K40" s="1"/>
      <c r="L40" s="302"/>
    </row>
    <row r="41" spans="1:12" ht="12.75">
      <c r="A41" s="241"/>
      <c r="B41" s="241"/>
      <c r="C41" s="241"/>
      <c r="D41" s="142"/>
      <c r="E41" s="208"/>
      <c r="F41" s="210"/>
      <c r="G41" s="142"/>
      <c r="H41" s="208"/>
      <c r="I41" s="302"/>
      <c r="J41" s="241"/>
      <c r="K41" s="1"/>
      <c r="L41" s="302"/>
    </row>
    <row r="42" spans="1:12" ht="12.75">
      <c r="A42" s="25" t="s">
        <v>304</v>
      </c>
      <c r="B42" s="241"/>
      <c r="C42" s="241"/>
      <c r="D42" s="142"/>
      <c r="E42" s="142"/>
      <c r="F42" s="142"/>
      <c r="G42" s="142"/>
      <c r="H42" s="142"/>
      <c r="I42" s="241"/>
      <c r="J42" s="241"/>
      <c r="K42" s="241"/>
      <c r="L42" s="241"/>
    </row>
    <row r="43" spans="1:12" ht="12.75">
      <c r="A43" s="25"/>
      <c r="B43" s="241"/>
      <c r="C43" s="241"/>
      <c r="D43" s="344" t="s">
        <v>305</v>
      </c>
      <c r="E43" s="345"/>
      <c r="F43" s="345"/>
      <c r="G43" s="345"/>
      <c r="H43" s="142"/>
      <c r="I43" s="241"/>
      <c r="J43" s="241"/>
      <c r="K43" s="241"/>
      <c r="L43" s="241"/>
    </row>
    <row r="44" spans="1:12" ht="12.75">
      <c r="A44" s="25"/>
      <c r="B44" s="241"/>
      <c r="C44" s="241"/>
      <c r="D44" s="142"/>
      <c r="E44" s="74" t="s">
        <v>306</v>
      </c>
      <c r="F44" s="209">
        <f>Start_up!M2</f>
        <v>39.949999999999996</v>
      </c>
      <c r="G44" s="211" t="s">
        <v>108</v>
      </c>
      <c r="H44" s="142"/>
      <c r="I44" s="241"/>
      <c r="J44" s="241"/>
      <c r="K44" s="241"/>
      <c r="L44" s="241"/>
    </row>
    <row r="45" spans="1:12" ht="12.75">
      <c r="A45" s="25"/>
      <c r="B45" s="241"/>
      <c r="C45" s="241"/>
      <c r="D45" s="142"/>
      <c r="E45" s="74" t="s">
        <v>307</v>
      </c>
      <c r="F45" s="209">
        <f>'Device Parameters'!D27</f>
        <v>0.5</v>
      </c>
      <c r="G45" s="142"/>
      <c r="H45" s="142"/>
      <c r="I45" s="241"/>
      <c r="J45" s="241"/>
      <c r="K45" s="241"/>
      <c r="L45" s="241"/>
    </row>
    <row r="46" spans="1:12" ht="12.75">
      <c r="A46" s="25"/>
      <c r="B46" s="241"/>
      <c r="C46" s="241"/>
      <c r="D46" s="142"/>
      <c r="E46" s="74" t="s">
        <v>308</v>
      </c>
      <c r="F46" s="142">
        <f>F44*(1+F45)</f>
        <v>59.924999999999997</v>
      </c>
      <c r="G46" s="211" t="s">
        <v>108</v>
      </c>
      <c r="H46" s="142"/>
      <c r="I46" s="241"/>
      <c r="J46" s="241"/>
      <c r="K46" s="241"/>
      <c r="L46" s="241"/>
    </row>
    <row r="47" spans="1:12" ht="12.75">
      <c r="A47" s="25"/>
      <c r="B47" s="241"/>
      <c r="C47" s="241"/>
      <c r="D47" s="142"/>
      <c r="E47" s="74" t="s">
        <v>111</v>
      </c>
      <c r="F47" s="142">
        <f>'Device Parameters'!D25/'Device Parameters'!D22*F46</f>
        <v>1152.403846153846</v>
      </c>
      <c r="G47" s="211" t="s">
        <v>112</v>
      </c>
      <c r="H47" s="142"/>
      <c r="I47" s="241"/>
      <c r="J47" s="241"/>
      <c r="K47" s="241"/>
      <c r="L47" s="241"/>
    </row>
    <row r="48" spans="1:12" ht="12.75">
      <c r="A48" s="25"/>
      <c r="B48" s="241"/>
      <c r="C48" s="241"/>
      <c r="D48" s="142"/>
      <c r="E48" s="74" t="s">
        <v>309</v>
      </c>
      <c r="F48" s="209">
        <f>'Design Calculator'!F78</f>
        <v>412</v>
      </c>
      <c r="G48" s="211" t="s">
        <v>112</v>
      </c>
      <c r="H48" s="142"/>
      <c r="I48" s="241"/>
      <c r="J48" s="241"/>
      <c r="K48" s="241"/>
      <c r="L48" s="241"/>
    </row>
    <row r="49" spans="1:8" ht="12.75">
      <c r="A49" s="25"/>
      <c r="B49" s="241"/>
      <c r="C49" s="241"/>
      <c r="D49" s="142"/>
      <c r="E49" s="74" t="s">
        <v>310</v>
      </c>
      <c r="F49" s="142">
        <f>'Device Parameters'!D22/'Device Parameters'!D25*F48</f>
        <v>21.423999999999999</v>
      </c>
      <c r="G49" s="211" t="s">
        <v>108</v>
      </c>
      <c r="H49" s="142"/>
    </row>
    <row r="50" spans="1:8" ht="12.75">
      <c r="A50" s="25"/>
      <c r="B50" s="241"/>
      <c r="C50" s="241"/>
      <c r="D50" s="142"/>
      <c r="E50" s="74" t="s">
        <v>311</v>
      </c>
      <c r="F50" s="142">
        <f>SOA!C26/F38</f>
        <v>8.6658294490445353</v>
      </c>
      <c r="G50" s="211"/>
      <c r="H50" s="142"/>
    </row>
    <row r="51" spans="1:8" ht="12.75">
      <c r="A51" s="25"/>
      <c r="B51" s="241"/>
      <c r="C51" s="241"/>
      <c r="D51" s="344" t="s">
        <v>312</v>
      </c>
      <c r="E51" s="345"/>
      <c r="F51" s="345"/>
      <c r="G51" s="345"/>
      <c r="H51" s="142"/>
    </row>
    <row r="52" spans="1:8" ht="12.75">
      <c r="A52" s="25"/>
      <c r="B52" s="241"/>
      <c r="C52" s="242"/>
      <c r="D52" s="304"/>
      <c r="E52" s="74" t="s">
        <v>313</v>
      </c>
      <c r="F52" s="212">
        <f>'Design Calculator'!F84</f>
        <v>0.5</v>
      </c>
      <c r="G52" s="212" t="s">
        <v>118</v>
      </c>
      <c r="H52" s="142"/>
    </row>
    <row r="53" spans="1:8" ht="12.75">
      <c r="A53" s="25"/>
      <c r="B53" s="241"/>
      <c r="C53" s="242"/>
      <c r="D53" s="304"/>
      <c r="E53" s="74" t="s">
        <v>121</v>
      </c>
      <c r="F53" s="210">
        <f>'Device Parameters'!D30/ss_rate</f>
        <v>40</v>
      </c>
      <c r="G53" s="211" t="s">
        <v>112</v>
      </c>
      <c r="H53" s="142"/>
    </row>
    <row r="54" spans="1:8" ht="12.75">
      <c r="A54" s="25"/>
      <c r="B54" s="241"/>
      <c r="C54" s="242"/>
      <c r="D54" s="304"/>
      <c r="E54" s="74" t="s">
        <v>123</v>
      </c>
      <c r="F54" s="212">
        <f>'Design Calculator'!F86</f>
        <v>47</v>
      </c>
      <c r="G54" s="211" t="s">
        <v>112</v>
      </c>
      <c r="H54" s="142"/>
    </row>
    <row r="55" spans="1:8" ht="12.75">
      <c r="A55" s="25"/>
      <c r="B55" s="241"/>
      <c r="C55" s="242"/>
      <c r="D55" s="304"/>
      <c r="E55" s="74" t="s">
        <v>314</v>
      </c>
      <c r="F55" s="210">
        <f>ss_rate*F53/F54</f>
        <v>0.42553191489361702</v>
      </c>
      <c r="G55" s="211" t="s">
        <v>118</v>
      </c>
      <c r="H55" s="142"/>
    </row>
    <row r="56" spans="1:8" ht="12.75">
      <c r="A56" s="25"/>
      <c r="B56" s="241"/>
      <c r="C56" s="242"/>
      <c r="D56" s="304"/>
      <c r="E56" s="74" t="s">
        <v>315</v>
      </c>
      <c r="F56" s="212">
        <f>COUTMAX*F55/1000</f>
        <v>4.255319148936171</v>
      </c>
      <c r="G56" s="212" t="s">
        <v>44</v>
      </c>
      <c r="H56" s="142"/>
    </row>
    <row r="57" spans="1:8" ht="12.75">
      <c r="A57" s="25"/>
      <c r="B57" s="241"/>
      <c r="C57" s="242"/>
      <c r="D57" s="304"/>
      <c r="E57" s="74" t="s">
        <v>316</v>
      </c>
      <c r="F57" s="212">
        <f>VINMAX/F55</f>
        <v>39.950000000000003</v>
      </c>
      <c r="G57" s="212" t="s">
        <v>108</v>
      </c>
      <c r="H57" s="142"/>
    </row>
    <row r="58" spans="1:8" ht="12.75">
      <c r="A58" s="25"/>
      <c r="B58" s="241"/>
      <c r="C58" s="242"/>
      <c r="D58" s="304"/>
      <c r="E58" s="74" t="s">
        <v>317</v>
      </c>
      <c r="F58" s="212">
        <f>Start_up!N5</f>
        <v>1.4710376741321614</v>
      </c>
      <c r="G58" s="212" t="s">
        <v>318</v>
      </c>
      <c r="H58" s="142"/>
    </row>
    <row r="59" spans="1:8" ht="12.75">
      <c r="A59" s="25"/>
      <c r="B59" s="241"/>
      <c r="C59" s="242"/>
      <c r="D59" s="304"/>
      <c r="E59" s="74" t="s">
        <v>319</v>
      </c>
      <c r="F59" s="212">
        <f>Start_up!Q4</f>
        <v>72.340425531914903</v>
      </c>
      <c r="G59" s="212" t="s">
        <v>59</v>
      </c>
      <c r="H59" s="142"/>
    </row>
    <row r="60" spans="1:8" ht="12.75">
      <c r="A60" s="25"/>
      <c r="B60" s="241"/>
      <c r="C60" s="241"/>
      <c r="D60" s="303"/>
      <c r="E60" s="74" t="s">
        <v>320</v>
      </c>
      <c r="F60" s="212">
        <f>F58/F59*1000</f>
        <v>20.334932554179876</v>
      </c>
      <c r="G60" s="212" t="s">
        <v>108</v>
      </c>
      <c r="H60" s="142"/>
    </row>
    <row r="61" spans="1:8" ht="12.75">
      <c r="A61" s="25"/>
      <c r="B61" s="241"/>
      <c r="C61" s="241"/>
      <c r="D61" s="142"/>
      <c r="E61" s="74" t="s">
        <v>321</v>
      </c>
      <c r="F61" s="211">
        <f>SOA!H28</f>
        <v>344.33371672057041</v>
      </c>
      <c r="G61" s="212" t="s">
        <v>59</v>
      </c>
      <c r="H61" s="142"/>
    </row>
    <row r="62" spans="1:8" ht="12.75">
      <c r="A62" s="25"/>
      <c r="B62" s="241"/>
      <c r="C62" s="241"/>
      <c r="D62" s="142"/>
      <c r="E62" s="74" t="s">
        <v>322</v>
      </c>
      <c r="F62" s="211">
        <f>F61/F59</f>
        <v>4.7599072605490607</v>
      </c>
      <c r="G62" s="211"/>
      <c r="H62" s="142"/>
    </row>
    <row r="63" spans="1:8" ht="12.75">
      <c r="A63" s="25"/>
      <c r="B63" s="241"/>
      <c r="C63" s="241"/>
      <c r="D63" s="142"/>
      <c r="E63" s="74"/>
      <c r="F63" s="211"/>
      <c r="G63" s="211"/>
      <c r="H63" s="142"/>
    </row>
    <row r="64" spans="1:8" ht="12.75">
      <c r="A64" s="25"/>
      <c r="B64" s="241"/>
      <c r="C64" s="241"/>
      <c r="D64" s="142"/>
      <c r="E64" s="74"/>
      <c r="F64" s="211">
        <v>1</v>
      </c>
      <c r="G64" s="212" t="s">
        <v>108</v>
      </c>
      <c r="H64" s="142"/>
    </row>
    <row r="65" spans="1:8" ht="12.75">
      <c r="A65" s="25"/>
      <c r="B65" s="241"/>
      <c r="C65" s="241"/>
      <c r="D65" s="346" t="s">
        <v>323</v>
      </c>
      <c r="E65" s="346"/>
      <c r="F65" s="346"/>
      <c r="G65" s="346"/>
      <c r="H65" s="346"/>
    </row>
    <row r="66" spans="1:8" ht="12.75">
      <c r="A66" s="25"/>
      <c r="B66" s="241"/>
      <c r="C66" s="241"/>
      <c r="D66" s="142"/>
      <c r="E66" s="74" t="s">
        <v>126</v>
      </c>
      <c r="F66" s="213">
        <f>'Design Calculator'!F89</f>
        <v>0.52</v>
      </c>
      <c r="G66" s="211"/>
      <c r="H66" s="142"/>
    </row>
    <row r="67" spans="1:8" ht="12.75">
      <c r="A67" s="25"/>
      <c r="B67" s="241"/>
      <c r="C67" s="241"/>
      <c r="D67" s="142"/>
      <c r="E67" s="74" t="s">
        <v>127</v>
      </c>
      <c r="F67" s="211">
        <f>'Device Parameters'!D25/'Device Parameters'!D22*F66</f>
        <v>10</v>
      </c>
      <c r="G67" s="211" t="s">
        <v>112</v>
      </c>
      <c r="H67" s="142"/>
    </row>
    <row r="68" spans="1:8" ht="12.75">
      <c r="A68" s="25"/>
      <c r="B68" s="241"/>
      <c r="C68" s="241"/>
      <c r="D68" s="142"/>
      <c r="E68" s="183" t="s">
        <v>324</v>
      </c>
      <c r="F68" s="213">
        <f>'Design Calculator'!F91</f>
        <v>10</v>
      </c>
      <c r="G68" s="211" t="s">
        <v>112</v>
      </c>
      <c r="H68" s="142"/>
    </row>
    <row r="69" spans="1:8" ht="12.75">
      <c r="A69" s="25"/>
      <c r="B69" s="241"/>
      <c r="C69" s="241"/>
      <c r="D69" s="142"/>
      <c r="E69" s="74" t="s">
        <v>129</v>
      </c>
      <c r="F69" s="211">
        <f>'Device Parameters'!D22/'Device Parameters'!D25*F68</f>
        <v>0.52</v>
      </c>
      <c r="G69" s="211" t="s">
        <v>108</v>
      </c>
      <c r="H69" s="142"/>
    </row>
    <row r="70" spans="1:8" ht="12.75">
      <c r="A70" s="25"/>
      <c r="B70" s="241"/>
      <c r="C70" s="241"/>
      <c r="D70" s="142"/>
      <c r="E70" s="183" t="s">
        <v>325</v>
      </c>
      <c r="F70" s="211">
        <f>SOA!C26</f>
        <v>1623.398716787676</v>
      </c>
      <c r="G70" s="211" t="s">
        <v>59</v>
      </c>
      <c r="H70" s="142"/>
    </row>
    <row r="71" spans="1:8" ht="12.75">
      <c r="A71" s="25"/>
      <c r="B71" s="241"/>
      <c r="C71" s="241"/>
      <c r="D71" s="142"/>
      <c r="E71" s="74" t="s">
        <v>322</v>
      </c>
      <c r="F71" s="211">
        <f>F70/F33</f>
        <v>8.6658294490445353</v>
      </c>
      <c r="G71" s="211"/>
      <c r="H71" s="142"/>
    </row>
    <row r="72" spans="1:8" ht="12.75">
      <c r="A72" s="25"/>
      <c r="B72" s="241"/>
      <c r="C72" s="241"/>
      <c r="D72" s="142"/>
      <c r="E72" s="74"/>
      <c r="F72" s="211"/>
      <c r="G72" s="211"/>
      <c r="H72" s="142"/>
    </row>
    <row r="73" spans="1:8" ht="12.75">
      <c r="A73" s="25"/>
      <c r="B73" s="241"/>
      <c r="C73" s="241"/>
      <c r="D73" s="142"/>
      <c r="E73" s="74"/>
      <c r="F73" s="211"/>
      <c r="G73" s="211"/>
      <c r="H73" s="142"/>
    </row>
    <row r="74" spans="1:8" ht="12.75">
      <c r="A74" s="25"/>
      <c r="B74" s="241"/>
      <c r="C74" s="241"/>
      <c r="D74" s="142"/>
      <c r="E74" s="74"/>
      <c r="F74" s="211"/>
      <c r="G74" s="211"/>
      <c r="H74" s="142"/>
    </row>
    <row r="75" spans="1:8" ht="12.75">
      <c r="A75" s="25"/>
      <c r="B75" s="241"/>
      <c r="C75" s="241"/>
      <c r="D75" s="142"/>
      <c r="E75" s="74"/>
      <c r="F75" s="211"/>
      <c r="G75" s="211"/>
      <c r="H75" s="142"/>
    </row>
    <row r="76" spans="1:8" ht="12.75">
      <c r="A76" s="25"/>
      <c r="B76" s="241"/>
      <c r="C76" s="241"/>
      <c r="D76" s="142"/>
      <c r="E76" s="74"/>
      <c r="F76" s="211"/>
      <c r="G76" s="211"/>
      <c r="H76" s="142"/>
    </row>
    <row r="77" spans="1:8" ht="12.75">
      <c r="A77" s="25"/>
      <c r="B77" s="241"/>
      <c r="C77" s="241"/>
      <c r="D77" s="142"/>
      <c r="E77" s="74"/>
      <c r="F77" s="211"/>
      <c r="G77" s="211"/>
      <c r="H77" s="142"/>
    </row>
    <row r="78" spans="1:8" ht="12.75">
      <c r="A78" s="25"/>
      <c r="B78" s="241"/>
      <c r="C78" s="241"/>
      <c r="D78" s="142"/>
      <c r="E78" s="74"/>
      <c r="F78" s="211"/>
      <c r="G78" s="211"/>
      <c r="H78" s="142"/>
    </row>
    <row r="79" spans="1:8" ht="12.75">
      <c r="A79" s="25"/>
      <c r="B79" s="241"/>
      <c r="C79" s="241"/>
      <c r="D79" s="142"/>
      <c r="E79" s="74"/>
      <c r="F79" s="211"/>
      <c r="G79" s="211"/>
      <c r="H79" s="142"/>
    </row>
    <row r="80" spans="1:8" ht="12.75">
      <c r="A80" s="25"/>
      <c r="B80" s="241"/>
      <c r="C80" s="241"/>
      <c r="D80" s="142"/>
      <c r="E80" s="142"/>
      <c r="F80" s="211"/>
      <c r="G80" s="142"/>
      <c r="H80" s="142"/>
    </row>
    <row r="81" spans="1:13" ht="12.75">
      <c r="A81" s="242"/>
      <c r="B81" s="241"/>
      <c r="C81" s="241"/>
      <c r="D81" s="142"/>
      <c r="E81" s="74"/>
      <c r="F81" s="211"/>
      <c r="G81" s="142"/>
      <c r="H81" s="142"/>
      <c r="I81" s="241"/>
      <c r="J81" s="241"/>
      <c r="K81" s="241"/>
      <c r="L81" s="241"/>
      <c r="M81" s="241"/>
    </row>
    <row r="82" spans="1:13" ht="12.75">
      <c r="A82" s="242"/>
      <c r="B82" s="241"/>
      <c r="C82" s="241"/>
      <c r="D82" s="142"/>
      <c r="E82" s="74"/>
      <c r="F82" s="211"/>
      <c r="G82" s="142"/>
      <c r="H82" s="142"/>
      <c r="I82" s="241"/>
      <c r="J82" s="241"/>
      <c r="K82" s="241"/>
      <c r="L82" s="241"/>
      <c r="M82" s="241"/>
    </row>
    <row r="83" spans="1:13" ht="12.75">
      <c r="A83" s="241"/>
      <c r="B83" s="241"/>
      <c r="C83" s="241"/>
      <c r="D83" s="211"/>
      <c r="E83" s="74"/>
      <c r="F83" s="211"/>
      <c r="G83" s="142"/>
      <c r="H83" s="142"/>
      <c r="I83" s="241"/>
      <c r="J83" s="241"/>
      <c r="K83" s="241"/>
      <c r="L83" s="241"/>
      <c r="M83" s="241"/>
    </row>
    <row r="84" spans="1:13" ht="12.75">
      <c r="A84" s="241"/>
      <c r="B84" s="241"/>
      <c r="C84" s="241"/>
      <c r="D84" s="211"/>
      <c r="E84" s="74"/>
      <c r="F84" s="211"/>
      <c r="G84" s="142"/>
      <c r="H84" s="142"/>
      <c r="I84" s="241"/>
      <c r="J84" s="241"/>
      <c r="K84" s="241"/>
      <c r="L84" s="241"/>
      <c r="M84" s="241"/>
    </row>
    <row r="85" spans="1:13" ht="12.75">
      <c r="A85" s="241"/>
      <c r="B85" s="241"/>
      <c r="C85" s="241"/>
      <c r="D85" s="211"/>
      <c r="E85" s="74"/>
      <c r="F85" s="211"/>
      <c r="G85" s="142"/>
      <c r="H85" s="142"/>
      <c r="I85" s="241"/>
      <c r="J85" s="241"/>
      <c r="K85" s="241"/>
      <c r="L85" s="241"/>
      <c r="M85" s="241"/>
    </row>
    <row r="86" spans="1:13" ht="12.75">
      <c r="A86" s="241"/>
      <c r="B86" s="241"/>
      <c r="C86" s="241"/>
      <c r="D86" s="142"/>
      <c r="E86" s="74"/>
      <c r="F86" s="211"/>
      <c r="G86" s="142"/>
      <c r="H86" s="142"/>
      <c r="I86" s="241"/>
      <c r="J86" s="5"/>
      <c r="K86" s="241"/>
      <c r="L86" s="241"/>
      <c r="M86" s="5"/>
    </row>
    <row r="87" spans="1:13" ht="12.75">
      <c r="A87" s="241"/>
      <c r="B87" s="241"/>
      <c r="C87" s="241"/>
      <c r="D87" s="142"/>
      <c r="E87" s="74"/>
      <c r="F87" s="211"/>
      <c r="G87" s="142"/>
      <c r="H87" s="142"/>
      <c r="I87" s="241"/>
      <c r="J87" s="5"/>
      <c r="K87" s="241"/>
      <c r="L87" s="241"/>
      <c r="M87" s="5"/>
    </row>
    <row r="88" spans="1:13" ht="12.75">
      <c r="A88" s="241"/>
      <c r="B88" s="241"/>
      <c r="C88" s="241"/>
      <c r="D88" s="142"/>
      <c r="E88" s="208"/>
      <c r="F88" s="211"/>
      <c r="G88" s="142" t="s">
        <v>326</v>
      </c>
      <c r="H88" s="142"/>
      <c r="I88" s="241"/>
      <c r="J88" s="6"/>
      <c r="K88" s="241"/>
      <c r="L88" s="241"/>
      <c r="M88" s="6"/>
    </row>
    <row r="89" spans="1:13" ht="12.75">
      <c r="A89" s="241"/>
      <c r="B89" s="241"/>
      <c r="C89" s="241"/>
      <c r="D89" s="142"/>
      <c r="E89" s="74"/>
      <c r="F89" s="211"/>
      <c r="G89" s="142"/>
      <c r="H89" s="142"/>
      <c r="I89" s="241"/>
      <c r="J89" s="6"/>
      <c r="K89" s="241"/>
      <c r="L89" s="241"/>
      <c r="M89" s="6"/>
    </row>
    <row r="90" spans="1:13" ht="12.75">
      <c r="A90" s="241"/>
      <c r="B90" s="241"/>
      <c r="C90" s="241"/>
      <c r="D90" s="142"/>
      <c r="E90" s="208"/>
      <c r="F90" s="211"/>
      <c r="G90" s="142"/>
      <c r="H90" s="142"/>
      <c r="I90" s="241"/>
      <c r="J90" s="241"/>
      <c r="K90" s="241"/>
      <c r="L90" s="241"/>
      <c r="M90" s="241"/>
    </row>
    <row r="91" spans="1:13" ht="12.75">
      <c r="A91" s="241"/>
      <c r="B91" s="241"/>
      <c r="C91" s="241"/>
      <c r="D91" s="142"/>
      <c r="E91" s="208"/>
      <c r="F91" s="211"/>
      <c r="G91" s="142"/>
      <c r="H91" s="142"/>
      <c r="I91" s="241" t="s">
        <v>327</v>
      </c>
      <c r="J91" s="241"/>
      <c r="K91" s="241"/>
      <c r="L91" s="241" t="s">
        <v>328</v>
      </c>
      <c r="M91" s="241"/>
    </row>
    <row r="92" spans="1:13" ht="12.75">
      <c r="A92" s="241"/>
      <c r="B92" s="241"/>
      <c r="C92" s="241"/>
      <c r="D92" s="142"/>
      <c r="E92" s="74"/>
      <c r="F92" s="211"/>
      <c r="G92" s="211" t="s">
        <v>44</v>
      </c>
      <c r="H92" s="142"/>
      <c r="I92" s="241"/>
      <c r="J92" s="241"/>
      <c r="K92" s="241"/>
      <c r="L92" s="241"/>
      <c r="M92" s="241"/>
    </row>
    <row r="93" spans="1:13" ht="12.75">
      <c r="A93" s="241"/>
      <c r="B93" s="241"/>
      <c r="C93" s="241"/>
      <c r="D93" s="142"/>
      <c r="E93" s="74"/>
      <c r="F93" s="211"/>
      <c r="G93" s="211" t="s">
        <v>329</v>
      </c>
      <c r="H93" s="142"/>
      <c r="I93" s="241"/>
      <c r="J93" s="241"/>
      <c r="K93" s="241"/>
      <c r="L93" s="241"/>
      <c r="M93" s="241"/>
    </row>
    <row r="94" spans="1:13" ht="12.75">
      <c r="A94" s="241"/>
      <c r="B94" s="241"/>
      <c r="C94" s="241"/>
      <c r="D94" s="142"/>
      <c r="E94" s="74"/>
      <c r="F94" s="211"/>
      <c r="G94" s="211" t="s">
        <v>112</v>
      </c>
      <c r="H94" s="142"/>
      <c r="I94" s="241"/>
      <c r="J94" s="241"/>
      <c r="K94" s="241"/>
      <c r="L94" s="241"/>
      <c r="M94" s="241"/>
    </row>
    <row r="95" spans="1:13" ht="12.75">
      <c r="A95" s="241"/>
      <c r="B95" s="241"/>
      <c r="C95" s="241"/>
      <c r="D95" s="142"/>
      <c r="E95" s="74"/>
      <c r="F95" s="142"/>
      <c r="G95" s="211"/>
      <c r="H95" s="142"/>
      <c r="I95" s="241"/>
      <c r="J95" s="241"/>
      <c r="K95" s="241"/>
      <c r="L95" s="241"/>
      <c r="M95" s="241"/>
    </row>
    <row r="96" spans="1:13" ht="12.75">
      <c r="A96" s="241"/>
      <c r="B96" s="241"/>
      <c r="C96" s="241"/>
      <c r="D96" s="142"/>
      <c r="E96" s="74"/>
      <c r="F96" s="142"/>
      <c r="G96" s="211"/>
      <c r="H96" s="142"/>
      <c r="I96" s="241"/>
      <c r="J96" s="241"/>
      <c r="K96" s="241"/>
      <c r="L96" s="241"/>
      <c r="M96" s="241"/>
    </row>
    <row r="97" spans="4:12" ht="12.75">
      <c r="D97" s="142"/>
      <c r="E97" s="74" t="s">
        <v>330</v>
      </c>
      <c r="F97" s="209">
        <f>IF('Design Calculator'!F73="YES", Equations!F68, Equations!F48)*'Device Parameters'!C39*1000/'Device Parameters'!E43*0.001</f>
        <v>6.3389830508474585</v>
      </c>
      <c r="G97" s="211" t="s">
        <v>108</v>
      </c>
      <c r="H97" s="142"/>
      <c r="I97" s="241"/>
      <c r="J97" s="241"/>
      <c r="K97" s="241"/>
      <c r="L97" s="241"/>
    </row>
    <row r="98" spans="4:12" ht="12.75">
      <c r="D98" s="142"/>
      <c r="E98" s="74" t="s">
        <v>331</v>
      </c>
      <c r="F98" s="209">
        <f>IF('Design Calculator'!F73="YES", Equations!F68, Equations!F48)*0.001*'Device Parameters'!D39*1000/'Device Parameters'!D43</f>
        <v>8.125</v>
      </c>
      <c r="G98" s="211" t="s">
        <v>108</v>
      </c>
      <c r="H98" s="142"/>
      <c r="I98" s="241"/>
      <c r="J98" s="241"/>
      <c r="K98" s="241"/>
      <c r="L98" s="241"/>
    </row>
    <row r="99" spans="4:12" ht="12.75">
      <c r="D99" s="142"/>
      <c r="E99" s="74" t="s">
        <v>332</v>
      </c>
      <c r="F99" s="209">
        <f>IF('Design Calculator'!F73="YES", Equations!F68, Equations!F48)*0.001*'Device Parameters'!E39*1000/'Device Parameters'!C43</f>
        <v>12.333333333333337</v>
      </c>
      <c r="G99" s="211" t="s">
        <v>108</v>
      </c>
      <c r="H99" s="142"/>
      <c r="I99" s="241"/>
      <c r="J99" s="241"/>
      <c r="K99" s="241"/>
      <c r="L99" s="241"/>
    </row>
    <row r="100" spans="4:12" ht="12.75">
      <c r="D100" s="142"/>
      <c r="E100" s="74" t="s">
        <v>333</v>
      </c>
      <c r="F100" s="142">
        <f>IF('Design Calculator'!F73="YES", Equations!F68, Equations!F48)*(H100+I100+J100)</f>
        <v>82.605714285714299</v>
      </c>
      <c r="G100" s="211" t="s">
        <v>108</v>
      </c>
      <c r="H100" s="142">
        <f>(('Device Parameters'!C39-'Device Parameters'!E40)/'Device Parameters'!E45)*7</f>
        <v>0.18200000000000002</v>
      </c>
      <c r="I100" s="241">
        <f>(('Device Parameters'!C39-'Device Parameters'!C40)/'Device Parameters'!D46)*8</f>
        <v>7.8285714285714301</v>
      </c>
      <c r="J100" s="241">
        <f>(('Device Parameters'!C40-'Device Parameters'!D41)/'Device Parameters'!D46)</f>
        <v>0.25</v>
      </c>
      <c r="K100" s="241"/>
      <c r="L100" s="241"/>
    </row>
    <row r="101" spans="4:12" ht="12.75">
      <c r="D101" s="142"/>
      <c r="E101" s="74" t="s">
        <v>334</v>
      </c>
      <c r="F101" s="142">
        <f>IF('Design Calculator'!F73="YES", Equations!F68, Equations!F48)*(H101+I101+J101)</f>
        <v>82.877142857142871</v>
      </c>
      <c r="G101" s="211" t="s">
        <v>108</v>
      </c>
      <c r="H101" s="142">
        <f>(('Device Parameters'!D39-'Device Parameters'!D40)/'Device Parameters'!D45)*7</f>
        <v>0.252</v>
      </c>
      <c r="I101" s="241">
        <f>(('Device Parameters'!D39-'Device Parameters'!D40)/'Device Parameters'!D46)*8</f>
        <v>7.7142857142857153</v>
      </c>
      <c r="J101" s="241">
        <f>(('Device Parameters'!D40-'Device Parameters'!D41)/'Device Parameters'!D46)</f>
        <v>0.3214285714285714</v>
      </c>
      <c r="K101" s="241"/>
      <c r="L101" s="241"/>
    </row>
    <row r="102" spans="4:12" ht="12.75">
      <c r="D102" s="142"/>
      <c r="E102" s="74" t="s">
        <v>335</v>
      </c>
      <c r="F102" s="142">
        <f>IF('Design Calculator'!F73="YES", Equations!F68, Equations!F48)*(H102+I102+J102)</f>
        <v>83.7959523809524</v>
      </c>
      <c r="G102" s="211" t="s">
        <v>108</v>
      </c>
      <c r="H102" s="142">
        <f>(('Device Parameters'!E39-'Device Parameters'!C40)/'Device Parameters'!C45)*7</f>
        <v>0.35816666666666669</v>
      </c>
      <c r="I102" s="241">
        <f>(('Device Parameters'!E39-'Device Parameters'!E40)/'Device Parameters'!D46)*8</f>
        <v>7.6285714285714299</v>
      </c>
      <c r="J102" s="241">
        <f>(('Device Parameters'!E40-'Device Parameters'!D41)/'Device Parameters'!D46)</f>
        <v>0.39285714285714285</v>
      </c>
      <c r="K102" s="241"/>
      <c r="L102" s="241"/>
    </row>
    <row r="103" spans="4:12" ht="12.75">
      <c r="D103" s="142"/>
      <c r="E103" s="74" t="s">
        <v>336</v>
      </c>
      <c r="F103" s="142">
        <f>(1+'Design Calculator'!F123/'Design Calculator'!F124)*'Device Parameters'!C51</f>
        <v>36.838571428571434</v>
      </c>
      <c r="G103" s="211"/>
      <c r="H103" s="142"/>
      <c r="I103" s="241"/>
      <c r="J103" s="241"/>
      <c r="K103" s="241"/>
      <c r="L103" s="241"/>
    </row>
    <row r="104" spans="4:12" ht="12.75">
      <c r="D104" s="142"/>
      <c r="E104" s="74" t="s">
        <v>337</v>
      </c>
      <c r="F104" s="142">
        <f>(1+'Design Calculator'!F123/'Design Calculator'!F124)*'Device Parameters'!D51</f>
        <v>37.602857142857147</v>
      </c>
      <c r="G104" s="211"/>
      <c r="H104" s="142"/>
      <c r="I104" s="241"/>
      <c r="J104" s="241"/>
      <c r="K104" s="241"/>
      <c r="L104" s="241"/>
    </row>
    <row r="105" spans="4:12" ht="12.75">
      <c r="D105" s="142"/>
      <c r="E105" s="74" t="s">
        <v>338</v>
      </c>
      <c r="F105" s="142">
        <f>(1+'Design Calculator'!F123/'Design Calculator'!F124)*'Device Parameters'!E51</f>
        <v>38.520000000000003</v>
      </c>
      <c r="G105" s="142"/>
      <c r="H105" s="142"/>
      <c r="I105" s="241"/>
      <c r="J105" s="241"/>
      <c r="K105" s="241"/>
      <c r="L105" s="241"/>
    </row>
    <row r="106" spans="4:12" ht="12.75">
      <c r="D106" s="142"/>
      <c r="E106" s="74" t="s">
        <v>339</v>
      </c>
      <c r="F106" s="142">
        <f>('Design Calculator'!F123*'Device Parameters'!C52)</f>
        <v>2250</v>
      </c>
      <c r="G106" s="142"/>
      <c r="H106" s="142"/>
      <c r="I106" s="241"/>
      <c r="J106" s="241"/>
      <c r="K106" s="241"/>
      <c r="L106" s="241"/>
    </row>
    <row r="107" spans="4:12" ht="12.75">
      <c r="D107" s="142"/>
      <c r="E107" s="74" t="s">
        <v>340</v>
      </c>
      <c r="F107" s="142">
        <f>('Design Calculator'!F123*'Device Parameters'!$D$52)</f>
        <v>3000</v>
      </c>
      <c r="G107" s="142"/>
      <c r="H107" s="142"/>
      <c r="I107" s="241"/>
      <c r="J107" s="241"/>
      <c r="K107" s="241"/>
      <c r="L107" s="241"/>
    </row>
    <row r="108" spans="4:12" ht="12.75">
      <c r="D108" s="142"/>
      <c r="E108" s="74" t="s">
        <v>341</v>
      </c>
      <c r="F108" s="142">
        <f>('Design Calculator'!F123*'Device Parameters'!$E$52)</f>
        <v>3750</v>
      </c>
      <c r="G108" s="142"/>
      <c r="H108" s="142"/>
      <c r="I108" s="241"/>
      <c r="J108" s="241"/>
      <c r="K108" s="241"/>
      <c r="L108" s="241"/>
    </row>
    <row r="109" spans="4:12" ht="12.75">
      <c r="D109" s="142"/>
      <c r="E109" s="74"/>
      <c r="F109" s="142"/>
      <c r="G109" s="142"/>
      <c r="H109" s="142"/>
      <c r="I109" s="241"/>
      <c r="J109" s="241"/>
      <c r="K109" s="241"/>
      <c r="L109" s="241"/>
    </row>
    <row r="110" spans="4:12" ht="12.75">
      <c r="D110" s="142"/>
      <c r="E110" s="74"/>
      <c r="F110" s="142"/>
      <c r="G110" s="142"/>
      <c r="H110" s="142"/>
      <c r="I110" s="241"/>
      <c r="J110" s="241"/>
      <c r="K110" s="241"/>
      <c r="L110" s="241"/>
    </row>
    <row r="111" spans="4:12" ht="12.75">
      <c r="D111" s="214"/>
      <c r="E111" s="142"/>
      <c r="F111" s="142"/>
      <c r="G111" s="142"/>
      <c r="H111" s="142"/>
      <c r="I111" s="241" t="s">
        <v>342</v>
      </c>
      <c r="J111" s="241"/>
      <c r="K111" s="241"/>
      <c r="L111" s="241" t="s">
        <v>343</v>
      </c>
    </row>
    <row r="112" spans="4:12" ht="12.75">
      <c r="D112" s="214"/>
      <c r="E112" s="142"/>
      <c r="F112" s="142"/>
      <c r="G112" s="142"/>
      <c r="H112" s="142"/>
      <c r="I112" s="241" t="s">
        <v>344</v>
      </c>
      <c r="J112" s="241"/>
      <c r="K112" s="241"/>
      <c r="L112" s="241" t="s">
        <v>345</v>
      </c>
    </row>
    <row r="113" spans="2:12" ht="12.75">
      <c r="B113" s="241"/>
      <c r="C113" s="241"/>
      <c r="D113" s="214"/>
      <c r="E113" s="142"/>
      <c r="F113" s="142"/>
      <c r="G113" s="142"/>
      <c r="H113" s="142"/>
      <c r="I113" s="241" t="s">
        <v>346</v>
      </c>
      <c r="J113" s="241"/>
      <c r="K113" s="241"/>
      <c r="L113" s="241" t="s">
        <v>347</v>
      </c>
    </row>
    <row r="114" spans="2:12" ht="12.75">
      <c r="B114" s="241"/>
      <c r="C114" s="241"/>
      <c r="D114" s="142"/>
      <c r="E114" s="142"/>
      <c r="F114" s="142"/>
      <c r="G114" s="142"/>
      <c r="H114" s="142"/>
      <c r="I114" s="241"/>
      <c r="J114" s="241"/>
      <c r="K114" s="241"/>
      <c r="L114" s="241"/>
    </row>
    <row r="115" spans="2:12" ht="12.75">
      <c r="B115" s="241"/>
      <c r="C115" s="241"/>
      <c r="D115" s="142"/>
      <c r="E115" s="142"/>
      <c r="F115" s="142"/>
      <c r="G115" s="142"/>
      <c r="H115" s="142"/>
      <c r="I115" s="241"/>
      <c r="J115" s="241"/>
      <c r="K115" s="241"/>
      <c r="L115" s="241"/>
    </row>
    <row r="116" spans="2:12" ht="12.75">
      <c r="B116" s="241"/>
      <c r="C116" s="241"/>
      <c r="D116" s="142"/>
      <c r="E116" s="208" t="s">
        <v>136</v>
      </c>
      <c r="F116" s="142"/>
      <c r="G116" s="142"/>
      <c r="H116" s="142"/>
      <c r="I116" s="241"/>
      <c r="J116" s="241"/>
      <c r="K116" s="241"/>
      <c r="L116" s="241"/>
    </row>
    <row r="117" spans="2:12" ht="12.75">
      <c r="B117" s="241"/>
      <c r="C117" s="241"/>
      <c r="D117" s="142"/>
      <c r="E117" s="208" t="s">
        <v>138</v>
      </c>
      <c r="F117" s="142"/>
      <c r="G117" s="142"/>
      <c r="H117" s="142"/>
      <c r="I117" s="241"/>
      <c r="J117" s="241"/>
      <c r="K117" s="241"/>
      <c r="L117" s="241"/>
    </row>
    <row r="118" spans="2:12" ht="12.75">
      <c r="B118" s="241"/>
      <c r="C118" s="241"/>
      <c r="D118" s="142"/>
      <c r="E118" s="208"/>
      <c r="F118" s="210" t="s">
        <v>44</v>
      </c>
      <c r="G118" s="210" t="s">
        <v>348</v>
      </c>
      <c r="H118" s="210" t="s">
        <v>349</v>
      </c>
      <c r="I118" s="302" t="s">
        <v>350</v>
      </c>
      <c r="J118" s="241"/>
      <c r="K118" s="241"/>
      <c r="L118" s="241"/>
    </row>
    <row r="119" spans="2:12" ht="12.75">
      <c r="B119" s="241"/>
      <c r="C119" s="241"/>
      <c r="D119" s="142"/>
      <c r="E119" s="208" t="s">
        <v>351</v>
      </c>
      <c r="F119" s="215">
        <f>('Design Calculator'!F97-'Design Calculator'!F98)*1000/20</f>
        <v>25</v>
      </c>
      <c r="G119" s="215">
        <f>('Design Calculator'!F97-'Design Calculator'!F98)*1000/20</f>
        <v>25</v>
      </c>
      <c r="H119" s="142"/>
      <c r="I119" s="241"/>
      <c r="J119" s="241"/>
      <c r="K119" s="241"/>
      <c r="L119" s="241"/>
    </row>
    <row r="120" spans="2:12" ht="12.75">
      <c r="B120" s="241"/>
      <c r="C120" s="241"/>
      <c r="D120" s="142"/>
      <c r="E120" s="208" t="s">
        <v>352</v>
      </c>
      <c r="F120" s="215">
        <f>2.48*F119/('Design Calculator'!F98-2.48)-F121</f>
        <v>2.7397719651240786</v>
      </c>
      <c r="G120" s="215">
        <f>2.48*G119/('Design Calculator'!F98-2.48)</f>
        <v>7.2769953051643199</v>
      </c>
      <c r="H120" s="142"/>
      <c r="I120" s="241"/>
      <c r="J120" s="241"/>
      <c r="K120" s="241"/>
      <c r="L120" s="241"/>
    </row>
    <row r="121" spans="2:12" ht="12.75">
      <c r="B121" s="241"/>
      <c r="C121" s="241"/>
      <c r="D121" s="142"/>
      <c r="E121" s="208" t="s">
        <v>353</v>
      </c>
      <c r="F121" s="215">
        <f>(F119*'Design Calculator'!F98*2.46)/('Design Calculator'!F99*('Design Calculator'!F98-2.48))</f>
        <v>4.5372233400402413</v>
      </c>
      <c r="G121" s="215">
        <f>('Design Calculator'!F99-'Design Calculator'!F100)*1000/21</f>
        <v>-2166.6666666666665</v>
      </c>
      <c r="H121" s="142"/>
      <c r="I121" s="241"/>
      <c r="J121" s="241"/>
      <c r="K121" s="241"/>
      <c r="L121" s="241"/>
    </row>
    <row r="122" spans="2:12" ht="12.75">
      <c r="B122" s="241"/>
      <c r="C122" s="241"/>
      <c r="D122" s="142"/>
      <c r="E122" s="208" t="s">
        <v>354</v>
      </c>
      <c r="F122" s="210"/>
      <c r="G122" s="215">
        <f>2.46*G121/('Design Calculator'!F99-2.46)</f>
        <v>-354.38829787234044</v>
      </c>
      <c r="H122" s="142"/>
      <c r="I122" s="241"/>
      <c r="J122" s="241"/>
      <c r="K122" s="241"/>
      <c r="L122" s="241"/>
    </row>
    <row r="123" spans="2:12" ht="12.75">
      <c r="B123" s="8"/>
      <c r="C123" s="9"/>
      <c r="D123" s="216"/>
      <c r="E123" s="10" t="s">
        <v>355</v>
      </c>
      <c r="F123" s="215">
        <f>2.41+('Design Calculator'!F105*((2.41/('Design Calculator'!F106+'Design Calculator'!F107))+(16/1000)))</f>
        <v>11.086098901098902</v>
      </c>
      <c r="G123" s="215">
        <f>2.41+('Design Calculator'!F$105*((2.41/'Design Calculator'!F$106)+(16/1000)))</f>
        <v>24.799051094890512</v>
      </c>
      <c r="H123" s="142"/>
      <c r="I123" s="241"/>
      <c r="J123" s="241"/>
      <c r="K123" s="241"/>
      <c r="L123" s="241"/>
    </row>
    <row r="124" spans="2:12" ht="12.75">
      <c r="B124" s="11"/>
      <c r="C124" s="240"/>
      <c r="D124" s="217"/>
      <c r="E124" s="12" t="s">
        <v>356</v>
      </c>
      <c r="F124" s="215">
        <f>2.48+('Design Calculator'!F105*((2.48/('Design Calculator'!F106+'Design Calculator'!F107))+(20/1000)))</f>
        <v>11.496483516483517</v>
      </c>
      <c r="G124" s="215">
        <f>2.48+('Design Calculator'!F$105*((2.48/'Design Calculator'!F$106)+(20/1000)))</f>
        <v>25.607737226277372</v>
      </c>
      <c r="H124" s="142"/>
      <c r="I124" s="241"/>
      <c r="J124" s="241"/>
      <c r="K124" s="241"/>
      <c r="L124" s="241"/>
    </row>
    <row r="125" spans="2:12" ht="12.75">
      <c r="B125" s="13"/>
      <c r="C125" s="14"/>
      <c r="D125" s="218"/>
      <c r="E125" s="15" t="s">
        <v>357</v>
      </c>
      <c r="F125" s="215">
        <f>2.55+('Design Calculator'!F105*((2.55/('Design Calculator'!F106+'Design Calculator'!F107))+(24/1000)))</f>
        <v>11.90686813186813</v>
      </c>
      <c r="G125" s="215">
        <f>2.55+('Design Calculator'!F$105*((2.55/'Design Calculator'!F$106)+(24/1000)))</f>
        <v>26.416423357664232</v>
      </c>
      <c r="H125" s="142"/>
      <c r="I125" s="241"/>
      <c r="J125" s="241"/>
      <c r="K125" s="241"/>
      <c r="L125" s="241"/>
    </row>
    <row r="126" spans="2:12" ht="12.75">
      <c r="B126" s="241"/>
      <c r="C126" s="241"/>
      <c r="D126" s="142"/>
      <c r="E126" s="2" t="s">
        <v>358</v>
      </c>
      <c r="F126" s="215">
        <f>2.41*('Design Calculator'!F105+'Design Calculator'!F106+'Design Calculator'!F107)/('Design Calculator'!F106+'Design Calculator'!F107)</f>
        <v>10.686098901098902</v>
      </c>
      <c r="G126" s="215">
        <f>2.41*('Design Calculator'!F$105+'Design Calculator'!F$106)/'Design Calculator'!F$106</f>
        <v>24.399051094890513</v>
      </c>
      <c r="H126" s="142"/>
      <c r="I126" s="241"/>
      <c r="J126" s="241"/>
      <c r="K126" s="241"/>
      <c r="L126" s="241"/>
    </row>
    <row r="127" spans="2:12" ht="12.75">
      <c r="B127" s="241"/>
      <c r="C127" s="241"/>
      <c r="D127" s="142"/>
      <c r="E127" s="2" t="s">
        <v>359</v>
      </c>
      <c r="F127" s="215">
        <f>2.48*('Design Calculator'!F105+'Design Calculator'!F106+'Design Calculator'!F107)/('Design Calculator'!F106+'Design Calculator'!F107)</f>
        <v>10.996483516483517</v>
      </c>
      <c r="G127" s="215">
        <f>2.48*('Design Calculator'!F$105+'Design Calculator'!F$106)/'Design Calculator'!F$106</f>
        <v>25.107737226277372</v>
      </c>
      <c r="H127" s="142"/>
      <c r="I127" s="241"/>
      <c r="J127" s="241"/>
      <c r="K127" s="241"/>
      <c r="L127" s="241"/>
    </row>
    <row r="128" spans="2:12" ht="12.75">
      <c r="B128" s="241"/>
      <c r="C128" s="241"/>
      <c r="D128" s="142"/>
      <c r="E128" s="2" t="s">
        <v>360</v>
      </c>
      <c r="F128" s="215">
        <f>2.55*('Design Calculator'!F105+'Design Calculator'!F106+'Design Calculator'!F107)/('Design Calculator'!F106+'Design Calculator'!F107)</f>
        <v>11.30686813186813</v>
      </c>
      <c r="G128" s="215">
        <f>2.55*('Design Calculator'!F$105+'Design Calculator'!F$106)/'Design Calculator'!F$106</f>
        <v>25.816423357664231</v>
      </c>
      <c r="H128" s="142"/>
      <c r="I128" s="241"/>
      <c r="J128" s="241"/>
      <c r="K128" s="241"/>
      <c r="L128" s="241"/>
    </row>
    <row r="129" spans="2:8" ht="12.75">
      <c r="B129" s="8"/>
      <c r="C129" s="9"/>
      <c r="D129" s="216"/>
      <c r="E129" s="10" t="s">
        <v>361</v>
      </c>
      <c r="F129" s="215">
        <f>2.39*('Design Calculator'!F105+'Design Calculator'!F106+'Design Calculator'!F107)/'Design Calculator'!F107</f>
        <v>16.993215859030837</v>
      </c>
      <c r="G129" s="215">
        <f>2.39*('Design Calculator'!F$107+'Design Calculator'!F$108)/'Design Calculator'!F$108</f>
        <v>5.2912299465240649</v>
      </c>
      <c r="H129" s="142"/>
    </row>
    <row r="130" spans="2:8" ht="12.75">
      <c r="B130" s="11"/>
      <c r="C130" s="240"/>
      <c r="D130" s="217"/>
      <c r="E130" s="12" t="s">
        <v>362</v>
      </c>
      <c r="F130" s="215">
        <f>2.46*('Design Calculator'!F$105+'Design Calculator'!F$106+'Design Calculator'!F$107)/'Design Calculator'!F$107</f>
        <v>17.490925110132157</v>
      </c>
      <c r="G130" s="215">
        <f>2.46*('Design Calculator'!F$107+'Design Calculator'!F$108)/'Design Calculator'!F$108</f>
        <v>5.4462032085561507</v>
      </c>
      <c r="H130" s="142"/>
    </row>
    <row r="131" spans="2:8" ht="12.75">
      <c r="B131" s="13"/>
      <c r="C131" s="14"/>
      <c r="D131" s="218"/>
      <c r="E131" s="15" t="s">
        <v>363</v>
      </c>
      <c r="F131" s="215">
        <f>2.53*('Design Calculator'!F$105+'Design Calculator'!F$106+'Design Calculator'!F$107)/'Design Calculator'!F$107</f>
        <v>17.98863436123348</v>
      </c>
      <c r="G131" s="215">
        <f>2.53*('Design Calculator'!F$107+'Design Calculator'!F$108)/'Design Calculator'!F$108</f>
        <v>5.6011764705882356</v>
      </c>
      <c r="H131" s="142"/>
    </row>
    <row r="132" spans="2:8" ht="12.75">
      <c r="B132" s="241"/>
      <c r="C132" s="241"/>
      <c r="D132" s="142"/>
      <c r="E132" s="2" t="s">
        <v>364</v>
      </c>
      <c r="F132" s="215">
        <f>2.39+(('Design Calculator'!F$105+'Design Calculator'!F$106)*((2.39/'Design Calculator'!F$107)-(24/1000)))</f>
        <v>16.327455859030838</v>
      </c>
      <c r="G132" s="215">
        <f>2.39+('Design Calculator'!F$107*((2.39/'Design Calculator'!F$108)-(24/1000)))</f>
        <v>5.1822699465240643</v>
      </c>
      <c r="H132" s="142"/>
    </row>
    <row r="133" spans="2:8" ht="12.75">
      <c r="B133" s="241"/>
      <c r="C133" s="241"/>
      <c r="D133" s="142"/>
      <c r="E133" s="2" t="s">
        <v>365</v>
      </c>
      <c r="F133" s="215">
        <f>2.46+(('Design Calculator'!F$105+'Design Calculator'!F$106)*((2.46/'Design Calculator'!F$107)-(21/1000)))</f>
        <v>16.908385110132159</v>
      </c>
      <c r="G133" s="215">
        <f>2.46+('Design Calculator'!F$107*((2.46/'Design Calculator'!F$108)-(21/1000)))</f>
        <v>5.3508632085561496</v>
      </c>
      <c r="H133" s="142"/>
    </row>
    <row r="134" spans="2:8" ht="12.75">
      <c r="B134" s="241"/>
      <c r="C134" s="241"/>
      <c r="D134" s="142"/>
      <c r="E134" s="2" t="s">
        <v>366</v>
      </c>
      <c r="F134" s="215">
        <f>2.53+(('Design Calculator'!F$105+'Design Calculator'!F$106)*((2.53/'Design Calculator'!F$107)-(16/1000)))</f>
        <v>17.544794361233482</v>
      </c>
      <c r="G134" s="215">
        <f>2.53+('Design Calculator'!F$107*((2.53/'Design Calculator'!F$108)-(16/1000)))</f>
        <v>5.5285364705882349</v>
      </c>
      <c r="H134" s="142"/>
    </row>
    <row r="135" spans="2:8" ht="12.75">
      <c r="B135" s="241"/>
      <c r="C135" s="241"/>
      <c r="D135" s="142"/>
      <c r="E135" s="142"/>
      <c r="F135" s="142"/>
      <c r="G135" s="142"/>
      <c r="H135" s="142"/>
    </row>
    <row r="136" spans="2:8" ht="12.75">
      <c r="B136" s="241"/>
      <c r="C136" s="241"/>
      <c r="D136" s="142"/>
      <c r="E136" s="142"/>
      <c r="F136" s="142"/>
      <c r="G136" s="142"/>
      <c r="H136" s="142"/>
    </row>
    <row r="137" spans="2:8" ht="12.75">
      <c r="B137" s="241"/>
      <c r="C137" s="241"/>
      <c r="D137" s="142"/>
      <c r="E137" s="142"/>
      <c r="F137" s="142"/>
      <c r="G137" s="142"/>
      <c r="H137" s="142"/>
    </row>
    <row r="138" spans="2:8" ht="12.75">
      <c r="B138" s="241"/>
      <c r="C138" s="241"/>
      <c r="D138" s="142"/>
      <c r="E138" s="142"/>
      <c r="F138" s="142"/>
      <c r="G138" s="142"/>
      <c r="H138" s="142"/>
    </row>
    <row r="139" spans="2:8" ht="12.75">
      <c r="B139" s="241"/>
      <c r="C139" s="241"/>
      <c r="D139" s="142"/>
      <c r="E139" s="142"/>
      <c r="F139" s="142"/>
      <c r="G139" s="142"/>
      <c r="H139" s="142"/>
    </row>
    <row r="140" spans="2:8" ht="12.75">
      <c r="B140" s="241"/>
      <c r="C140" s="241"/>
      <c r="D140" s="142"/>
      <c r="E140" s="142"/>
      <c r="F140" s="142"/>
      <c r="G140" s="142"/>
      <c r="H140" s="142"/>
    </row>
    <row r="141" spans="2:8" ht="12.75">
      <c r="B141" s="241"/>
      <c r="C141" s="241"/>
      <c r="D141" s="142"/>
      <c r="E141" s="142"/>
      <c r="F141" s="142"/>
      <c r="G141" s="142"/>
      <c r="H141" s="142"/>
    </row>
    <row r="142" spans="2:8" ht="12.75">
      <c r="B142" s="241"/>
      <c r="C142" s="241"/>
      <c r="D142" s="142"/>
      <c r="E142" s="74" t="s">
        <v>367</v>
      </c>
      <c r="F142" s="211" t="e">
        <f>'Design Calculator'!#REF!</f>
        <v>#REF!</v>
      </c>
      <c r="G142" s="211" t="s">
        <v>108</v>
      </c>
      <c r="H142" s="142"/>
    </row>
    <row r="143" spans="2:8" ht="12.75">
      <c r="B143" s="241"/>
      <c r="C143" s="241"/>
      <c r="D143" s="142"/>
      <c r="E143" s="74" t="s">
        <v>368</v>
      </c>
      <c r="F143" s="211">
        <f>'Design Calculator'!F28</f>
        <v>14.8</v>
      </c>
      <c r="G143" s="211" t="s">
        <v>40</v>
      </c>
      <c r="H143" s="142"/>
    </row>
    <row r="144" spans="2:8" ht="12.75">
      <c r="B144" s="241"/>
      <c r="C144" s="241"/>
      <c r="D144" s="142"/>
      <c r="E144" s="74" t="s">
        <v>369</v>
      </c>
      <c r="F144" s="142" t="e">
        <f>22/F143*F142</f>
        <v>#REF!</v>
      </c>
      <c r="G144" s="211" t="s">
        <v>112</v>
      </c>
      <c r="H144" s="142"/>
    </row>
    <row r="145" spans="4:8" ht="12.75">
      <c r="D145" s="142"/>
      <c r="E145" s="142"/>
      <c r="F145" s="142"/>
      <c r="G145" s="142"/>
      <c r="H145" s="142"/>
    </row>
    <row r="146" spans="4:8" ht="12.75">
      <c r="D146" s="142"/>
      <c r="E146" s="142"/>
      <c r="F146" s="142"/>
      <c r="G146" s="142"/>
      <c r="H146" s="142"/>
    </row>
    <row r="147" spans="4:8" ht="12.75">
      <c r="D147" s="142"/>
      <c r="E147" s="142"/>
      <c r="F147" s="142"/>
      <c r="G147" s="142"/>
      <c r="H147" s="142"/>
    </row>
    <row r="148" spans="4:8" ht="12.75">
      <c r="D148" s="142"/>
      <c r="E148" s="142"/>
      <c r="F148" s="142"/>
      <c r="G148" s="142"/>
      <c r="H148" s="142"/>
    </row>
    <row r="149" spans="4:8" ht="12.75">
      <c r="D149" s="142"/>
      <c r="E149" s="142"/>
      <c r="F149" s="142"/>
      <c r="G149" s="142"/>
      <c r="H149" s="142"/>
    </row>
    <row r="150" spans="4:8" ht="12.75">
      <c r="D150" s="142"/>
      <c r="E150" s="142"/>
      <c r="F150" s="142"/>
      <c r="G150" s="142"/>
      <c r="H150" s="142"/>
    </row>
    <row r="151" spans="4:8" ht="12.75">
      <c r="D151" s="142"/>
      <c r="E151" s="142"/>
      <c r="F151" s="142"/>
      <c r="G151" s="142"/>
      <c r="H151" s="142"/>
    </row>
    <row r="152" spans="4:8" ht="12.75">
      <c r="D152" s="142"/>
      <c r="E152" s="142"/>
      <c r="F152" s="142"/>
      <c r="G152" s="142"/>
      <c r="H152" s="142"/>
    </row>
    <row r="153" spans="4:8" ht="12.75">
      <c r="D153" s="142"/>
      <c r="E153" s="142"/>
      <c r="F153" s="142"/>
      <c r="G153" s="142"/>
      <c r="H153" s="142"/>
    </row>
    <row r="154" spans="4:8" ht="12.75">
      <c r="D154" s="142"/>
      <c r="E154" s="142"/>
      <c r="F154" s="142"/>
      <c r="G154" s="142"/>
      <c r="H154" s="142"/>
    </row>
    <row r="155" spans="4:8" ht="12.75">
      <c r="D155" s="142"/>
      <c r="E155" s="142"/>
      <c r="F155" s="142"/>
      <c r="G155" s="142"/>
      <c r="H155" s="142"/>
    </row>
    <row r="156" spans="4:8" ht="12.75">
      <c r="D156" s="142"/>
      <c r="E156" s="142"/>
      <c r="F156" s="142"/>
      <c r="G156" s="142"/>
      <c r="H156" s="142"/>
    </row>
    <row r="157" spans="4:8" ht="12.75">
      <c r="D157" s="142"/>
      <c r="E157" s="142"/>
      <c r="F157" s="142"/>
      <c r="G157" s="142"/>
      <c r="H157" s="142"/>
    </row>
    <row r="158" spans="4:8" ht="12.75">
      <c r="D158" s="142"/>
      <c r="E158" s="142"/>
      <c r="F158" s="142"/>
      <c r="G158" s="142"/>
      <c r="H158" s="142"/>
    </row>
    <row r="159" spans="4:8" ht="12.75">
      <c r="D159" s="142"/>
      <c r="E159" s="142"/>
      <c r="F159" s="142"/>
      <c r="G159" s="142"/>
      <c r="H159" s="142"/>
    </row>
    <row r="160" spans="4:8" ht="12.75">
      <c r="D160" s="142"/>
      <c r="E160" s="142"/>
      <c r="F160" s="142"/>
      <c r="G160" s="142"/>
      <c r="H160" s="142"/>
    </row>
    <row r="161" spans="3:25" ht="12.75">
      <c r="C161" s="241"/>
      <c r="D161" s="142"/>
      <c r="E161" s="142"/>
      <c r="F161" s="142"/>
      <c r="G161" s="142"/>
      <c r="H161" s="142"/>
      <c r="I161" s="241"/>
      <c r="J161" s="241"/>
      <c r="K161" s="241"/>
      <c r="L161" s="241"/>
      <c r="M161" s="241"/>
      <c r="N161" s="241"/>
      <c r="O161" s="241"/>
      <c r="P161" s="241"/>
      <c r="Q161" s="241"/>
      <c r="R161" s="241"/>
      <c r="S161" s="241"/>
      <c r="T161" s="241"/>
      <c r="U161" s="241"/>
      <c r="V161" s="241"/>
      <c r="W161" s="241"/>
      <c r="X161" s="241"/>
      <c r="Y161" s="241"/>
    </row>
    <row r="162" spans="3:25" ht="12.75">
      <c r="C162" s="241"/>
      <c r="D162" s="142"/>
      <c r="E162" s="142"/>
      <c r="F162" s="142"/>
      <c r="G162" s="142"/>
      <c r="H162" s="142"/>
      <c r="I162" s="241"/>
      <c r="J162" s="241"/>
      <c r="K162" s="241"/>
      <c r="L162" s="241"/>
      <c r="M162" s="241"/>
      <c r="N162" s="241"/>
      <c r="O162" s="241"/>
      <c r="P162" s="241"/>
      <c r="Q162" s="241"/>
      <c r="R162" s="241"/>
      <c r="S162" s="241"/>
      <c r="T162" s="241"/>
      <c r="U162" s="241"/>
      <c r="V162" s="241"/>
      <c r="W162" s="241"/>
      <c r="X162" s="241"/>
      <c r="Y162" s="241"/>
    </row>
    <row r="165" spans="3:25" ht="12.75">
      <c r="C165" s="25" t="s">
        <v>370</v>
      </c>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row>
    <row r="166" spans="3:25" ht="12.75">
      <c r="C166" s="241"/>
      <c r="D166" s="241"/>
      <c r="E166" s="1" t="s">
        <v>371</v>
      </c>
      <c r="F166" s="302">
        <f>'Design Calculator'!F41</f>
        <v>1.5</v>
      </c>
      <c r="G166" s="241"/>
      <c r="H166" s="241"/>
      <c r="I166" s="241"/>
      <c r="J166" s="241"/>
      <c r="K166" s="241"/>
      <c r="L166" s="241"/>
      <c r="M166" s="241"/>
      <c r="N166" s="241"/>
      <c r="O166" s="241"/>
      <c r="P166" s="241"/>
      <c r="Q166" s="241"/>
      <c r="R166" s="241"/>
      <c r="S166" s="241"/>
      <c r="T166" s="241"/>
      <c r="U166" s="241"/>
      <c r="V166" s="241"/>
      <c r="W166" s="241"/>
      <c r="X166" s="241"/>
      <c r="Y166" s="241"/>
    </row>
    <row r="167" spans="3:25" ht="15.75">
      <c r="C167" s="241"/>
      <c r="D167" s="241"/>
      <c r="E167" s="1" t="s">
        <v>372</v>
      </c>
      <c r="F167" s="302">
        <f>'Design Calculator'!F68</f>
        <v>34</v>
      </c>
      <c r="G167" s="241"/>
      <c r="H167" s="241"/>
      <c r="I167" s="241"/>
      <c r="J167" s="241"/>
      <c r="K167" s="241"/>
      <c r="L167" s="241"/>
      <c r="M167" s="241"/>
      <c r="N167" s="241"/>
      <c r="O167" s="241"/>
      <c r="P167" s="241"/>
      <c r="Q167" s="241"/>
      <c r="R167" s="241"/>
      <c r="S167" s="241"/>
      <c r="T167" s="241"/>
      <c r="U167" s="241"/>
      <c r="V167" s="241"/>
      <c r="W167" s="241"/>
      <c r="X167" s="241"/>
      <c r="Y167" s="241"/>
    </row>
    <row r="168" spans="3:25" ht="12.75">
      <c r="C168" s="241"/>
      <c r="D168" s="241"/>
      <c r="E168" s="1" t="s">
        <v>373</v>
      </c>
      <c r="F168" s="302">
        <f>'Design Calculator'!F29</f>
        <v>17</v>
      </c>
      <c r="G168" s="241"/>
      <c r="H168" s="241"/>
      <c r="I168" s="241"/>
      <c r="J168" s="241"/>
      <c r="K168" s="241"/>
      <c r="L168" s="241"/>
      <c r="M168" s="241"/>
      <c r="N168" s="241"/>
      <c r="O168" s="241"/>
      <c r="P168" s="241"/>
      <c r="Q168" s="241"/>
      <c r="R168" s="241"/>
      <c r="S168" s="241"/>
      <c r="T168" s="241"/>
      <c r="U168" s="241"/>
      <c r="V168" s="241"/>
      <c r="W168" s="241"/>
      <c r="X168" s="241"/>
      <c r="Y168" s="241"/>
    </row>
    <row r="170" spans="3:25" ht="12.75">
      <c r="C170" s="241"/>
      <c r="D170" s="241"/>
      <c r="E170" s="1" t="s">
        <v>374</v>
      </c>
      <c r="F170" s="16">
        <f>F13</f>
        <v>15.6</v>
      </c>
      <c r="G170" s="241"/>
      <c r="H170" s="241"/>
      <c r="I170" s="241"/>
      <c r="J170" s="241"/>
      <c r="K170" s="241"/>
      <c r="L170" s="241"/>
      <c r="M170" s="241"/>
      <c r="N170" s="241"/>
      <c r="O170" s="241"/>
      <c r="P170" s="241"/>
      <c r="Q170" s="241"/>
      <c r="R170" s="241"/>
      <c r="S170" s="241"/>
      <c r="T170" s="241"/>
      <c r="U170" s="241"/>
      <c r="V170" s="241"/>
      <c r="W170" s="241"/>
      <c r="X170" s="241"/>
      <c r="Y170" s="241"/>
    </row>
    <row r="171" spans="3:25" ht="12.75">
      <c r="C171" s="241"/>
      <c r="D171" s="241"/>
      <c r="E171" s="1" t="s">
        <v>375</v>
      </c>
      <c r="F171" s="16">
        <f>F14</f>
        <v>17.333333333333332</v>
      </c>
      <c r="G171" s="241"/>
      <c r="H171" s="241"/>
      <c r="I171" s="241"/>
      <c r="J171" s="241"/>
      <c r="K171" s="241"/>
      <c r="L171" s="241"/>
      <c r="M171" s="241"/>
      <c r="N171" s="241"/>
      <c r="O171" s="241"/>
      <c r="P171" s="241"/>
      <c r="Q171" s="241"/>
      <c r="R171" s="241"/>
      <c r="S171" s="241"/>
      <c r="T171" s="241"/>
      <c r="U171" s="241"/>
      <c r="V171" s="241"/>
      <c r="W171" s="241"/>
      <c r="X171" s="241"/>
      <c r="Y171" s="241"/>
    </row>
    <row r="172" spans="3:25" ht="12.75">
      <c r="C172" s="241"/>
      <c r="D172" s="241"/>
      <c r="E172" s="1" t="s">
        <v>376</v>
      </c>
      <c r="F172" s="16">
        <f>F15</f>
        <v>19.066666666666666</v>
      </c>
      <c r="G172" s="241"/>
      <c r="H172" s="241"/>
      <c r="I172" s="241"/>
      <c r="J172" s="241"/>
      <c r="K172" s="241"/>
      <c r="L172" s="241"/>
      <c r="M172" s="241"/>
      <c r="N172" s="241"/>
      <c r="O172" s="241"/>
      <c r="P172" s="241"/>
      <c r="Q172" s="241"/>
      <c r="R172" s="241"/>
      <c r="S172" s="241"/>
      <c r="T172" s="241"/>
      <c r="U172" s="241"/>
      <c r="V172" s="241"/>
      <c r="W172" s="241"/>
      <c r="X172" s="241"/>
      <c r="Y172" s="241"/>
    </row>
    <row r="174" spans="3:25" ht="12.75">
      <c r="C174" s="241"/>
      <c r="D174" s="241"/>
      <c r="E174" s="1" t="s">
        <v>377</v>
      </c>
      <c r="F174" s="5">
        <f>F37</f>
        <v>142.37333333333331</v>
      </c>
      <c r="G174" s="241"/>
      <c r="H174" s="241"/>
      <c r="I174" s="241"/>
      <c r="J174" s="241"/>
      <c r="K174" s="241"/>
      <c r="L174" s="241"/>
      <c r="M174" s="241"/>
      <c r="N174" s="241"/>
      <c r="O174" s="241"/>
      <c r="P174" s="241"/>
      <c r="Q174" s="241"/>
      <c r="R174" s="241"/>
      <c r="S174" s="241"/>
      <c r="T174" s="241"/>
      <c r="U174" s="241"/>
      <c r="V174" s="241"/>
      <c r="W174" s="241"/>
      <c r="X174" s="241"/>
      <c r="Y174" s="241"/>
    </row>
    <row r="175" spans="3:25" ht="12.75">
      <c r="C175" s="241"/>
      <c r="D175" s="241"/>
      <c r="E175" s="1" t="s">
        <v>378</v>
      </c>
      <c r="F175" s="5">
        <f>F38</f>
        <v>187.33333333333331</v>
      </c>
      <c r="G175" s="241"/>
      <c r="H175" s="241"/>
      <c r="I175" s="241"/>
      <c r="J175" s="241"/>
      <c r="K175" s="241"/>
      <c r="L175" s="241"/>
      <c r="M175" s="241"/>
      <c r="N175" s="241"/>
      <c r="O175" s="241"/>
      <c r="P175" s="241"/>
      <c r="Q175" s="241"/>
      <c r="R175" s="241"/>
      <c r="S175" s="241"/>
      <c r="T175" s="241"/>
      <c r="U175" s="241"/>
      <c r="V175" s="241"/>
      <c r="W175" s="241"/>
      <c r="X175" s="241"/>
      <c r="Y175" s="242" t="s">
        <v>59</v>
      </c>
    </row>
    <row r="176" spans="3:25" ht="12.75">
      <c r="C176" s="241"/>
      <c r="D176" s="241"/>
      <c r="E176" s="1" t="s">
        <v>379</v>
      </c>
      <c r="F176" s="5">
        <f>F39</f>
        <v>232.29333333333332</v>
      </c>
      <c r="G176" s="241"/>
      <c r="H176" s="241"/>
      <c r="I176" s="241"/>
      <c r="J176" s="241"/>
      <c r="K176" s="241"/>
      <c r="L176" s="241"/>
      <c r="M176" s="241"/>
      <c r="N176" s="241"/>
      <c r="O176" s="241"/>
      <c r="P176" s="241"/>
      <c r="Q176" s="241"/>
      <c r="R176" s="241"/>
      <c r="S176" s="241"/>
      <c r="T176" s="241"/>
      <c r="U176" s="241"/>
      <c r="V176" s="241"/>
      <c r="W176" s="241"/>
      <c r="X176" s="241"/>
      <c r="Y176" s="241"/>
    </row>
    <row r="181" spans="2:24" ht="12.75">
      <c r="B181" s="241"/>
      <c r="C181" s="241"/>
      <c r="D181" s="241" t="s">
        <v>380</v>
      </c>
      <c r="E181" s="1"/>
      <c r="F181" s="241"/>
      <c r="G181" s="241"/>
      <c r="H181" s="241"/>
      <c r="I181" s="241" t="s">
        <v>381</v>
      </c>
      <c r="J181" s="241"/>
      <c r="K181" s="241"/>
      <c r="L181" s="241"/>
      <c r="M181" s="241"/>
      <c r="N181" s="241" t="s">
        <v>382</v>
      </c>
      <c r="O181" s="241"/>
      <c r="P181" s="241"/>
      <c r="Q181" s="241"/>
      <c r="R181" s="242" t="s">
        <v>383</v>
      </c>
      <c r="S181" s="241"/>
      <c r="T181" s="241"/>
      <c r="U181" s="241"/>
      <c r="V181" s="241"/>
      <c r="W181" s="241"/>
      <c r="X181" s="241"/>
    </row>
    <row r="182" spans="2:24" ht="12.75">
      <c r="B182" s="241"/>
      <c r="C182" s="241"/>
      <c r="D182" s="241" t="s">
        <v>384</v>
      </c>
      <c r="E182" s="241"/>
      <c r="F182" s="241"/>
      <c r="G182" s="241"/>
      <c r="H182" s="241"/>
      <c r="I182" s="241" t="s">
        <v>385</v>
      </c>
      <c r="J182" s="241"/>
      <c r="K182" s="241"/>
      <c r="L182" s="241"/>
      <c r="M182" s="241"/>
      <c r="N182" s="241" t="s">
        <v>386</v>
      </c>
      <c r="O182" s="241"/>
      <c r="P182" s="241"/>
      <c r="Q182" s="241"/>
      <c r="R182" s="242" t="s">
        <v>387</v>
      </c>
      <c r="S182" s="241"/>
      <c r="T182" s="241"/>
      <c r="U182" s="241"/>
      <c r="V182" s="241"/>
      <c r="W182" s="241"/>
      <c r="X182" s="241"/>
    </row>
    <row r="183" spans="2:24" ht="12.75">
      <c r="B183" s="242" t="s">
        <v>388</v>
      </c>
      <c r="C183" s="241"/>
      <c r="D183" s="4" t="s">
        <v>234</v>
      </c>
      <c r="E183" s="4" t="s">
        <v>216</v>
      </c>
      <c r="F183" s="148" t="s">
        <v>217</v>
      </c>
      <c r="G183" s="4" t="s">
        <v>218</v>
      </c>
      <c r="H183" s="241"/>
      <c r="I183" s="4" t="s">
        <v>234</v>
      </c>
      <c r="J183" s="4" t="s">
        <v>216</v>
      </c>
      <c r="K183" s="4" t="s">
        <v>217</v>
      </c>
      <c r="L183" s="4" t="s">
        <v>218</v>
      </c>
      <c r="M183" s="241"/>
      <c r="N183" s="241" t="s">
        <v>389</v>
      </c>
      <c r="O183" s="241"/>
      <c r="P183" s="241"/>
      <c r="Q183" s="241"/>
      <c r="R183" s="4" t="s">
        <v>234</v>
      </c>
      <c r="S183" s="24" t="s">
        <v>216</v>
      </c>
      <c r="T183" s="24" t="s">
        <v>217</v>
      </c>
      <c r="U183" s="24" t="s">
        <v>218</v>
      </c>
      <c r="V183" s="160" t="s">
        <v>390</v>
      </c>
      <c r="W183" s="241"/>
      <c r="X183" s="161" t="s">
        <v>391</v>
      </c>
    </row>
    <row r="184" spans="2:24" ht="12.75">
      <c r="B184" s="241">
        <f>D184*F184</f>
        <v>176.66666666666666</v>
      </c>
      <c r="C184" s="241"/>
      <c r="D184" s="4">
        <v>1</v>
      </c>
      <c r="E184" s="26">
        <f t="shared" ref="E184:E200" si="0">(1-$F$271)*F184</f>
        <v>132.5</v>
      </c>
      <c r="F184" s="26">
        <f t="shared" ref="F184:F215" si="1">($F$175+(D184-VINMAX)*$E$268/$E$269)/D184</f>
        <v>176.66666666666666</v>
      </c>
      <c r="G184" s="26">
        <f t="shared" ref="G184:G200" si="2">F184*(1+$F$271)</f>
        <v>220.83333333333331</v>
      </c>
      <c r="H184" s="241"/>
      <c r="I184" s="4">
        <v>1</v>
      </c>
      <c r="J184" s="26">
        <f t="shared" ref="J184:J200" si="3">IF(E184&gt;$F$170,$F$170,E184)</f>
        <v>15.6</v>
      </c>
      <c r="K184" s="26">
        <f t="shared" ref="K184:K200" si="4">IF(F184&gt;$F$171,$F$171,F184)</f>
        <v>17.333333333333332</v>
      </c>
      <c r="L184" s="26">
        <f t="shared" ref="L184:L200" si="5">IF(G184&gt;$F$172,$F$172,G184)</f>
        <v>19.066666666666666</v>
      </c>
      <c r="M184" s="241"/>
      <c r="N184" s="241" t="s">
        <v>392</v>
      </c>
      <c r="O184" s="241"/>
      <c r="P184" s="241"/>
      <c r="Q184" s="241"/>
      <c r="R184" s="4">
        <v>1</v>
      </c>
      <c r="S184" s="26">
        <f t="shared" ref="S184:S200" si="6">IF($R184&gt;$F$168,0.0000000005,J184)</f>
        <v>15.6</v>
      </c>
      <c r="T184" s="26">
        <f t="shared" ref="T184:T200" si="7">IF($R184&gt;$F$168,0.0000000005,K184)</f>
        <v>17.333333333333332</v>
      </c>
      <c r="U184" s="26">
        <f t="shared" ref="U184:U200" si="8">IF($R184&gt;$F$168,0.0000000005,L184)</f>
        <v>19.066666666666666</v>
      </c>
      <c r="V184" s="26">
        <f t="shared" ref="V184:V200" si="9">$X$184/R184</f>
        <v>1623.398716787676</v>
      </c>
      <c r="W184" s="241"/>
      <c r="X184" s="241">
        <f>SOA!C26</f>
        <v>1623.398716787676</v>
      </c>
    </row>
    <row r="185" spans="2:24" ht="12.75">
      <c r="B185" s="241">
        <f t="shared" ref="B185:B248" si="10">D185*F185</f>
        <v>177.33333333333331</v>
      </c>
      <c r="C185" s="241"/>
      <c r="D185" s="4">
        <v>2</v>
      </c>
      <c r="E185" s="26">
        <f t="shared" si="0"/>
        <v>66.5</v>
      </c>
      <c r="F185" s="26">
        <f t="shared" si="1"/>
        <v>88.666666666666657</v>
      </c>
      <c r="G185" s="26">
        <f t="shared" si="2"/>
        <v>110.83333333333331</v>
      </c>
      <c r="H185" s="241"/>
      <c r="I185" s="4">
        <v>2</v>
      </c>
      <c r="J185" s="26">
        <f t="shared" si="3"/>
        <v>15.6</v>
      </c>
      <c r="K185" s="26">
        <f t="shared" si="4"/>
        <v>17.333333333333332</v>
      </c>
      <c r="L185" s="26">
        <f t="shared" si="5"/>
        <v>19.066666666666666</v>
      </c>
      <c r="M185" s="241"/>
      <c r="N185" s="241"/>
      <c r="O185" s="241"/>
      <c r="P185" s="241"/>
      <c r="Q185" s="241"/>
      <c r="R185" s="4">
        <v>2</v>
      </c>
      <c r="S185" s="26">
        <f t="shared" si="6"/>
        <v>15.6</v>
      </c>
      <c r="T185" s="26">
        <f t="shared" si="7"/>
        <v>17.333333333333332</v>
      </c>
      <c r="U185" s="26">
        <f t="shared" si="8"/>
        <v>19.066666666666666</v>
      </c>
      <c r="V185" s="26">
        <f t="shared" si="9"/>
        <v>811.699358393838</v>
      </c>
      <c r="W185" s="241"/>
      <c r="X185" s="241"/>
    </row>
    <row r="186" spans="2:24" ht="12.75">
      <c r="B186" s="241">
        <f t="shared" si="10"/>
        <v>177.99999999999997</v>
      </c>
      <c r="C186" s="241"/>
      <c r="D186" s="4">
        <v>3</v>
      </c>
      <c r="E186" s="26">
        <f t="shared" si="0"/>
        <v>44.499999999999993</v>
      </c>
      <c r="F186" s="26">
        <f t="shared" si="1"/>
        <v>59.333333333333321</v>
      </c>
      <c r="G186" s="26">
        <f t="shared" si="2"/>
        <v>74.166666666666657</v>
      </c>
      <c r="H186" s="241"/>
      <c r="I186" s="4">
        <v>3</v>
      </c>
      <c r="J186" s="26">
        <f t="shared" si="3"/>
        <v>15.6</v>
      </c>
      <c r="K186" s="26">
        <f t="shared" si="4"/>
        <v>17.333333333333332</v>
      </c>
      <c r="L186" s="26">
        <f t="shared" si="5"/>
        <v>19.066666666666666</v>
      </c>
      <c r="M186" s="241"/>
      <c r="N186" s="241"/>
      <c r="O186" s="27" t="s">
        <v>393</v>
      </c>
      <c r="P186" s="241"/>
      <c r="Q186" s="241"/>
      <c r="R186" s="4">
        <v>3</v>
      </c>
      <c r="S186" s="26">
        <f t="shared" si="6"/>
        <v>15.6</v>
      </c>
      <c r="T186" s="26">
        <f t="shared" si="7"/>
        <v>17.333333333333332</v>
      </c>
      <c r="U186" s="26">
        <f t="shared" si="8"/>
        <v>19.066666666666666</v>
      </c>
      <c r="V186" s="26">
        <f t="shared" si="9"/>
        <v>541.132905595892</v>
      </c>
      <c r="W186" s="241"/>
      <c r="X186" s="241"/>
    </row>
    <row r="187" spans="2:24" ht="12.75">
      <c r="B187" s="241">
        <f t="shared" si="10"/>
        <v>178.66666666666666</v>
      </c>
      <c r="C187" s="241"/>
      <c r="D187" s="4">
        <v>4</v>
      </c>
      <c r="E187" s="26">
        <f t="shared" si="0"/>
        <v>33.5</v>
      </c>
      <c r="F187" s="26">
        <f t="shared" si="1"/>
        <v>44.666666666666664</v>
      </c>
      <c r="G187" s="26">
        <f t="shared" si="2"/>
        <v>55.833333333333329</v>
      </c>
      <c r="H187" s="241"/>
      <c r="I187" s="4">
        <v>4</v>
      </c>
      <c r="J187" s="26">
        <f t="shared" si="3"/>
        <v>15.6</v>
      </c>
      <c r="K187" s="26">
        <f t="shared" si="4"/>
        <v>17.333333333333332</v>
      </c>
      <c r="L187" s="26">
        <f t="shared" si="5"/>
        <v>19.066666666666666</v>
      </c>
      <c r="M187" s="241"/>
      <c r="N187" s="7" t="s">
        <v>234</v>
      </c>
      <c r="O187" s="28" t="s">
        <v>394</v>
      </c>
      <c r="P187" s="241"/>
      <c r="Q187" s="241"/>
      <c r="R187" s="4">
        <v>4</v>
      </c>
      <c r="S187" s="26">
        <f t="shared" si="6"/>
        <v>15.6</v>
      </c>
      <c r="T187" s="26">
        <f t="shared" si="7"/>
        <v>17.333333333333332</v>
      </c>
      <c r="U187" s="26">
        <f t="shared" si="8"/>
        <v>19.066666666666666</v>
      </c>
      <c r="V187" s="26">
        <f t="shared" si="9"/>
        <v>405.849679196919</v>
      </c>
      <c r="W187" s="241"/>
      <c r="X187" s="241"/>
    </row>
    <row r="188" spans="2:24" ht="12.75">
      <c r="B188" s="241">
        <f t="shared" si="10"/>
        <v>179.33333333333331</v>
      </c>
      <c r="C188" s="241"/>
      <c r="D188" s="4">
        <v>5</v>
      </c>
      <c r="E188" s="26">
        <f t="shared" si="0"/>
        <v>26.899999999999995</v>
      </c>
      <c r="F188" s="26">
        <f t="shared" si="1"/>
        <v>35.86666666666666</v>
      </c>
      <c r="G188" s="26">
        <f t="shared" si="2"/>
        <v>44.833333333333329</v>
      </c>
      <c r="H188" s="241"/>
      <c r="I188" s="4">
        <v>5</v>
      </c>
      <c r="J188" s="26">
        <f t="shared" si="3"/>
        <v>15.6</v>
      </c>
      <c r="K188" s="26">
        <f t="shared" si="4"/>
        <v>17.333333333333332</v>
      </c>
      <c r="L188" s="26">
        <f t="shared" si="5"/>
        <v>19.066666666666666</v>
      </c>
      <c r="M188" s="241"/>
      <c r="N188" s="4">
        <v>1</v>
      </c>
      <c r="O188" s="4" t="e">
        <f>#REF!</f>
        <v>#REF!</v>
      </c>
      <c r="P188" s="241" t="s">
        <v>395</v>
      </c>
      <c r="Q188" s="241"/>
      <c r="R188" s="4">
        <v>5</v>
      </c>
      <c r="S188" s="26">
        <f t="shared" si="6"/>
        <v>15.6</v>
      </c>
      <c r="T188" s="26">
        <f t="shared" si="7"/>
        <v>17.333333333333332</v>
      </c>
      <c r="U188" s="26">
        <f t="shared" si="8"/>
        <v>19.066666666666666</v>
      </c>
      <c r="V188" s="26">
        <f t="shared" si="9"/>
        <v>324.67974335753519</v>
      </c>
      <c r="W188" s="241"/>
      <c r="X188" s="241"/>
    </row>
    <row r="189" spans="2:24" ht="12.75">
      <c r="B189" s="241">
        <f t="shared" si="10"/>
        <v>179.99999999999997</v>
      </c>
      <c r="C189" s="241"/>
      <c r="D189" s="4">
        <v>6</v>
      </c>
      <c r="E189" s="26">
        <f t="shared" si="0"/>
        <v>22.499999999999996</v>
      </c>
      <c r="F189" s="26">
        <f t="shared" si="1"/>
        <v>29.999999999999996</v>
      </c>
      <c r="G189" s="26">
        <f t="shared" si="2"/>
        <v>37.499999999999993</v>
      </c>
      <c r="H189" s="241"/>
      <c r="I189" s="4">
        <v>6</v>
      </c>
      <c r="J189" s="26">
        <f t="shared" si="3"/>
        <v>15.6</v>
      </c>
      <c r="K189" s="26">
        <f t="shared" si="4"/>
        <v>17.333333333333332</v>
      </c>
      <c r="L189" s="26">
        <f t="shared" si="5"/>
        <v>19.066666666666666</v>
      </c>
      <c r="M189" s="241"/>
      <c r="N189" s="4">
        <v>2</v>
      </c>
      <c r="O189" s="26" t="e">
        <f>O192+((O188-O192)*3/7)</f>
        <v>#REF!</v>
      </c>
      <c r="P189" s="241"/>
      <c r="Q189" s="241"/>
      <c r="R189" s="4">
        <v>6</v>
      </c>
      <c r="S189" s="26">
        <f t="shared" si="6"/>
        <v>15.6</v>
      </c>
      <c r="T189" s="26">
        <f t="shared" si="7"/>
        <v>17.333333333333332</v>
      </c>
      <c r="U189" s="26">
        <f t="shared" si="8"/>
        <v>19.066666666666666</v>
      </c>
      <c r="V189" s="26">
        <f t="shared" si="9"/>
        <v>270.566452797946</v>
      </c>
      <c r="W189" s="241"/>
      <c r="X189" s="241"/>
    </row>
    <row r="190" spans="2:24" ht="12.75">
      <c r="B190" s="241">
        <f t="shared" si="10"/>
        <v>180.66666666666666</v>
      </c>
      <c r="C190" s="241"/>
      <c r="D190" s="4">
        <v>7</v>
      </c>
      <c r="E190" s="26">
        <f t="shared" si="0"/>
        <v>19.357142857142854</v>
      </c>
      <c r="F190" s="26">
        <f t="shared" si="1"/>
        <v>25.809523809523807</v>
      </c>
      <c r="G190" s="26">
        <f t="shared" si="2"/>
        <v>32.261904761904759</v>
      </c>
      <c r="H190" s="241"/>
      <c r="I190" s="4">
        <v>7</v>
      </c>
      <c r="J190" s="26">
        <f t="shared" si="3"/>
        <v>15.6</v>
      </c>
      <c r="K190" s="26">
        <f t="shared" si="4"/>
        <v>17.333333333333332</v>
      </c>
      <c r="L190" s="26">
        <f t="shared" si="5"/>
        <v>19.066666666666666</v>
      </c>
      <c r="M190" s="241"/>
      <c r="N190" s="4">
        <v>3</v>
      </c>
      <c r="O190" s="26" t="e">
        <f>O192+((O188-O192)*2/8)</f>
        <v>#REF!</v>
      </c>
      <c r="P190" s="241"/>
      <c r="Q190" s="241"/>
      <c r="R190" s="4">
        <v>7</v>
      </c>
      <c r="S190" s="26">
        <f t="shared" si="6"/>
        <v>15.6</v>
      </c>
      <c r="T190" s="26">
        <f t="shared" si="7"/>
        <v>17.333333333333332</v>
      </c>
      <c r="U190" s="26">
        <f t="shared" si="8"/>
        <v>19.066666666666666</v>
      </c>
      <c r="V190" s="26">
        <f t="shared" si="9"/>
        <v>231.91410239823944</v>
      </c>
      <c r="W190" s="241"/>
      <c r="X190" s="241"/>
    </row>
    <row r="191" spans="2:24" ht="12.75">
      <c r="B191" s="241">
        <f t="shared" si="10"/>
        <v>181.33333333333331</v>
      </c>
      <c r="C191" s="241"/>
      <c r="D191" s="4">
        <v>8</v>
      </c>
      <c r="E191" s="26">
        <f t="shared" si="0"/>
        <v>17</v>
      </c>
      <c r="F191" s="26">
        <f t="shared" si="1"/>
        <v>22.666666666666664</v>
      </c>
      <c r="G191" s="26">
        <f t="shared" si="2"/>
        <v>28.333333333333329</v>
      </c>
      <c r="H191" s="241"/>
      <c r="I191" s="4">
        <v>8</v>
      </c>
      <c r="J191" s="26">
        <f t="shared" si="3"/>
        <v>15.6</v>
      </c>
      <c r="K191" s="26">
        <f t="shared" si="4"/>
        <v>17.333333333333332</v>
      </c>
      <c r="L191" s="26">
        <f t="shared" si="5"/>
        <v>19.066666666666666</v>
      </c>
      <c r="M191" s="241"/>
      <c r="N191" s="4">
        <v>4</v>
      </c>
      <c r="O191" s="26" t="e">
        <f>O192+((O188-O192)*1/9)</f>
        <v>#REF!</v>
      </c>
      <c r="P191" s="241"/>
      <c r="Q191" s="241"/>
      <c r="R191" s="4">
        <v>8</v>
      </c>
      <c r="S191" s="26">
        <f t="shared" si="6"/>
        <v>15.6</v>
      </c>
      <c r="T191" s="26">
        <f t="shared" si="7"/>
        <v>17.333333333333332</v>
      </c>
      <c r="U191" s="26">
        <f t="shared" si="8"/>
        <v>19.066666666666666</v>
      </c>
      <c r="V191" s="26">
        <f t="shared" si="9"/>
        <v>202.9248395984595</v>
      </c>
      <c r="W191" s="241"/>
      <c r="X191" s="241"/>
    </row>
    <row r="192" spans="2:24" ht="12.75">
      <c r="B192" s="241">
        <f t="shared" si="10"/>
        <v>181.99999999999997</v>
      </c>
      <c r="C192" s="241"/>
      <c r="D192" s="4">
        <v>9</v>
      </c>
      <c r="E192" s="26">
        <f t="shared" si="0"/>
        <v>15.166666666666664</v>
      </c>
      <c r="F192" s="26">
        <f t="shared" si="1"/>
        <v>20.222222222222218</v>
      </c>
      <c r="G192" s="26">
        <f t="shared" si="2"/>
        <v>25.277777777777771</v>
      </c>
      <c r="H192" s="241"/>
      <c r="I192" s="4">
        <v>9</v>
      </c>
      <c r="J192" s="26">
        <f t="shared" si="3"/>
        <v>15.166666666666664</v>
      </c>
      <c r="K192" s="26">
        <f t="shared" si="4"/>
        <v>17.333333333333332</v>
      </c>
      <c r="L192" s="26">
        <f t="shared" si="5"/>
        <v>19.066666666666666</v>
      </c>
      <c r="M192" s="241"/>
      <c r="N192" s="4">
        <v>5</v>
      </c>
      <c r="O192" s="26" t="e">
        <f>#REF!</f>
        <v>#REF!</v>
      </c>
      <c r="P192" s="241" t="s">
        <v>396</v>
      </c>
      <c r="Q192" s="241"/>
      <c r="R192" s="4">
        <v>9</v>
      </c>
      <c r="S192" s="26">
        <f t="shared" si="6"/>
        <v>15.166666666666664</v>
      </c>
      <c r="T192" s="26">
        <f t="shared" si="7"/>
        <v>17.333333333333332</v>
      </c>
      <c r="U192" s="26">
        <f t="shared" si="8"/>
        <v>19.066666666666666</v>
      </c>
      <c r="V192" s="26">
        <f t="shared" si="9"/>
        <v>180.37763519863066</v>
      </c>
      <c r="W192" s="241"/>
      <c r="X192" s="241"/>
    </row>
    <row r="193" spans="2:22" ht="12.75">
      <c r="B193" s="241">
        <f t="shared" si="10"/>
        <v>182.66666666666666</v>
      </c>
      <c r="C193" s="241"/>
      <c r="D193" s="4">
        <v>10</v>
      </c>
      <c r="E193" s="26">
        <f t="shared" si="0"/>
        <v>13.7</v>
      </c>
      <c r="F193" s="26">
        <f t="shared" si="1"/>
        <v>18.266666666666666</v>
      </c>
      <c r="G193" s="26">
        <f t="shared" si="2"/>
        <v>22.833333333333332</v>
      </c>
      <c r="H193" s="241"/>
      <c r="I193" s="4">
        <v>10</v>
      </c>
      <c r="J193" s="26">
        <f t="shared" si="3"/>
        <v>13.7</v>
      </c>
      <c r="K193" s="26">
        <f t="shared" si="4"/>
        <v>17.333333333333332</v>
      </c>
      <c r="L193" s="26">
        <f t="shared" si="5"/>
        <v>19.066666666666666</v>
      </c>
      <c r="M193" s="241"/>
      <c r="N193" s="4">
        <v>6</v>
      </c>
      <c r="O193" s="26" t="e">
        <f>O$197+((O$192-O$197)*4/6)</f>
        <v>#REF!</v>
      </c>
      <c r="P193" s="241"/>
      <c r="Q193" s="241"/>
      <c r="R193" s="4">
        <v>10</v>
      </c>
      <c r="S193" s="26">
        <f t="shared" si="6"/>
        <v>13.7</v>
      </c>
      <c r="T193" s="26">
        <f t="shared" si="7"/>
        <v>17.333333333333332</v>
      </c>
      <c r="U193" s="26">
        <f t="shared" si="8"/>
        <v>19.066666666666666</v>
      </c>
      <c r="V193" s="26">
        <f t="shared" si="9"/>
        <v>162.33987167876759</v>
      </c>
    </row>
    <row r="194" spans="2:22" ht="12.75">
      <c r="B194" s="241">
        <f t="shared" si="10"/>
        <v>183.33333333333331</v>
      </c>
      <c r="C194" s="241"/>
      <c r="D194" s="4">
        <v>11</v>
      </c>
      <c r="E194" s="26">
        <f t="shared" si="0"/>
        <v>12.499999999999998</v>
      </c>
      <c r="F194" s="26">
        <f t="shared" si="1"/>
        <v>16.666666666666664</v>
      </c>
      <c r="G194" s="26">
        <f t="shared" si="2"/>
        <v>20.833333333333329</v>
      </c>
      <c r="H194" s="241"/>
      <c r="I194" s="4">
        <v>11</v>
      </c>
      <c r="J194" s="26">
        <f t="shared" si="3"/>
        <v>12.499999999999998</v>
      </c>
      <c r="K194" s="26">
        <f t="shared" si="4"/>
        <v>16.666666666666664</v>
      </c>
      <c r="L194" s="26">
        <f t="shared" si="5"/>
        <v>19.066666666666666</v>
      </c>
      <c r="M194" s="241"/>
      <c r="N194" s="4">
        <v>7</v>
      </c>
      <c r="O194" s="26" t="e">
        <f>O$197+((O$192-O$197)*3/7)</f>
        <v>#REF!</v>
      </c>
      <c r="P194" s="241"/>
      <c r="Q194" s="241"/>
      <c r="R194" s="4">
        <v>11</v>
      </c>
      <c r="S194" s="26">
        <f t="shared" si="6"/>
        <v>12.499999999999998</v>
      </c>
      <c r="T194" s="26">
        <f t="shared" si="7"/>
        <v>16.666666666666664</v>
      </c>
      <c r="U194" s="26">
        <f t="shared" si="8"/>
        <v>19.066666666666666</v>
      </c>
      <c r="V194" s="26">
        <f t="shared" si="9"/>
        <v>147.58170152615236</v>
      </c>
    </row>
    <row r="195" spans="2:22" ht="12.75">
      <c r="B195" s="241">
        <f t="shared" si="10"/>
        <v>183.99999999999997</v>
      </c>
      <c r="C195" s="241"/>
      <c r="D195" s="4">
        <v>12</v>
      </c>
      <c r="E195" s="26">
        <f t="shared" si="0"/>
        <v>11.499999999999998</v>
      </c>
      <c r="F195" s="26">
        <f t="shared" si="1"/>
        <v>15.33333333333333</v>
      </c>
      <c r="G195" s="26">
        <f t="shared" si="2"/>
        <v>19.166666666666664</v>
      </c>
      <c r="H195" s="241"/>
      <c r="I195" s="4">
        <v>12</v>
      </c>
      <c r="J195" s="26">
        <f t="shared" si="3"/>
        <v>11.499999999999998</v>
      </c>
      <c r="K195" s="26">
        <f t="shared" si="4"/>
        <v>15.33333333333333</v>
      </c>
      <c r="L195" s="26">
        <f t="shared" si="5"/>
        <v>19.066666666666666</v>
      </c>
      <c r="M195" s="241"/>
      <c r="N195" s="4">
        <v>8</v>
      </c>
      <c r="O195" s="26" t="e">
        <f>O$197+((O$192-O$197)*2/8)</f>
        <v>#REF!</v>
      </c>
      <c r="P195" s="241"/>
      <c r="Q195" s="241"/>
      <c r="R195" s="4">
        <v>12</v>
      </c>
      <c r="S195" s="26">
        <f t="shared" si="6"/>
        <v>11.499999999999998</v>
      </c>
      <c r="T195" s="26">
        <f t="shared" si="7"/>
        <v>15.33333333333333</v>
      </c>
      <c r="U195" s="26">
        <f t="shared" si="8"/>
        <v>19.066666666666666</v>
      </c>
      <c r="V195" s="26">
        <f t="shared" si="9"/>
        <v>135.283226398973</v>
      </c>
    </row>
    <row r="196" spans="2:22" ht="12.75">
      <c r="B196" s="241">
        <f t="shared" si="10"/>
        <v>184.66666666666666</v>
      </c>
      <c r="C196" s="241"/>
      <c r="D196" s="4">
        <v>13</v>
      </c>
      <c r="E196" s="26">
        <f t="shared" si="0"/>
        <v>10.653846153846153</v>
      </c>
      <c r="F196" s="26">
        <f t="shared" si="1"/>
        <v>14.205128205128204</v>
      </c>
      <c r="G196" s="26">
        <f t="shared" si="2"/>
        <v>17.756410256410255</v>
      </c>
      <c r="H196" s="241"/>
      <c r="I196" s="4">
        <v>13</v>
      </c>
      <c r="J196" s="26">
        <f t="shared" si="3"/>
        <v>10.653846153846153</v>
      </c>
      <c r="K196" s="26">
        <f t="shared" si="4"/>
        <v>14.205128205128204</v>
      </c>
      <c r="L196" s="26">
        <f t="shared" si="5"/>
        <v>17.756410256410255</v>
      </c>
      <c r="M196" s="241"/>
      <c r="N196" s="4">
        <v>9</v>
      </c>
      <c r="O196" s="26" t="e">
        <f>O$197+((O$192-O$197)*1/9)</f>
        <v>#REF!</v>
      </c>
      <c r="P196" s="241"/>
      <c r="Q196" s="241"/>
      <c r="R196" s="4">
        <v>13</v>
      </c>
      <c r="S196" s="26">
        <f t="shared" si="6"/>
        <v>10.653846153846153</v>
      </c>
      <c r="T196" s="26">
        <f t="shared" si="7"/>
        <v>14.205128205128204</v>
      </c>
      <c r="U196" s="26">
        <f t="shared" si="8"/>
        <v>17.756410256410255</v>
      </c>
      <c r="V196" s="26">
        <f t="shared" si="9"/>
        <v>124.87682436828277</v>
      </c>
    </row>
    <row r="197" spans="2:22" ht="12.75">
      <c r="B197" s="241">
        <f t="shared" si="10"/>
        <v>185.33333333333331</v>
      </c>
      <c r="C197" s="241"/>
      <c r="D197" s="4">
        <v>14</v>
      </c>
      <c r="E197" s="26">
        <f t="shared" si="0"/>
        <v>9.928571428571427</v>
      </c>
      <c r="F197" s="26">
        <f t="shared" si="1"/>
        <v>13.238095238095237</v>
      </c>
      <c r="G197" s="26">
        <f t="shared" si="2"/>
        <v>16.547619047619047</v>
      </c>
      <c r="H197" s="241"/>
      <c r="I197" s="4">
        <v>14</v>
      </c>
      <c r="J197" s="26">
        <f t="shared" si="3"/>
        <v>9.928571428571427</v>
      </c>
      <c r="K197" s="26">
        <f t="shared" si="4"/>
        <v>13.238095238095237</v>
      </c>
      <c r="L197" s="26">
        <f t="shared" si="5"/>
        <v>16.547619047619047</v>
      </c>
      <c r="M197" s="241"/>
      <c r="N197" s="4">
        <v>10</v>
      </c>
      <c r="O197" s="26" t="e">
        <f>#REF!</f>
        <v>#REF!</v>
      </c>
      <c r="P197" s="241" t="s">
        <v>396</v>
      </c>
      <c r="Q197" s="241"/>
      <c r="R197" s="4">
        <v>14</v>
      </c>
      <c r="S197" s="26">
        <f t="shared" si="6"/>
        <v>9.928571428571427</v>
      </c>
      <c r="T197" s="26">
        <f t="shared" si="7"/>
        <v>13.238095238095237</v>
      </c>
      <c r="U197" s="26">
        <f t="shared" si="8"/>
        <v>16.547619047619047</v>
      </c>
      <c r="V197" s="26">
        <f t="shared" si="9"/>
        <v>115.95705119911972</v>
      </c>
    </row>
    <row r="198" spans="2:22" ht="12.75">
      <c r="B198" s="241">
        <f t="shared" si="10"/>
        <v>185.99999999999997</v>
      </c>
      <c r="C198" s="241"/>
      <c r="D198" s="4">
        <v>15</v>
      </c>
      <c r="E198" s="26">
        <f t="shared" si="0"/>
        <v>9.2999999999999989</v>
      </c>
      <c r="F198" s="26">
        <f t="shared" si="1"/>
        <v>12.399999999999999</v>
      </c>
      <c r="G198" s="26">
        <f t="shared" si="2"/>
        <v>15.499999999999998</v>
      </c>
      <c r="H198" s="241"/>
      <c r="I198" s="4">
        <v>15</v>
      </c>
      <c r="J198" s="26">
        <f t="shared" si="3"/>
        <v>9.2999999999999989</v>
      </c>
      <c r="K198" s="26">
        <f t="shared" si="4"/>
        <v>12.399999999999999</v>
      </c>
      <c r="L198" s="26">
        <f t="shared" si="5"/>
        <v>15.499999999999998</v>
      </c>
      <c r="M198" s="241"/>
      <c r="N198" s="4">
        <v>11</v>
      </c>
      <c r="O198" s="26" t="e">
        <f>O$202+((O$197-O$202)*4/6)</f>
        <v>#REF!</v>
      </c>
      <c r="P198" s="241"/>
      <c r="Q198" s="241"/>
      <c r="R198" s="4">
        <v>15</v>
      </c>
      <c r="S198" s="26">
        <f t="shared" si="6"/>
        <v>9.2999999999999989</v>
      </c>
      <c r="T198" s="26">
        <f t="shared" si="7"/>
        <v>12.399999999999999</v>
      </c>
      <c r="U198" s="26">
        <f t="shared" si="8"/>
        <v>15.499999999999998</v>
      </c>
      <c r="V198" s="26">
        <f t="shared" si="9"/>
        <v>108.22658111917841</v>
      </c>
    </row>
    <row r="199" spans="2:22" ht="12.75">
      <c r="B199" s="241">
        <f t="shared" si="10"/>
        <v>186.66666666666666</v>
      </c>
      <c r="C199" s="241"/>
      <c r="D199" s="4">
        <v>16</v>
      </c>
      <c r="E199" s="26">
        <f t="shared" si="0"/>
        <v>8.75</v>
      </c>
      <c r="F199" s="26">
        <f t="shared" si="1"/>
        <v>11.666666666666666</v>
      </c>
      <c r="G199" s="26">
        <f t="shared" si="2"/>
        <v>14.583333333333332</v>
      </c>
      <c r="H199" s="241"/>
      <c r="I199" s="4">
        <v>16</v>
      </c>
      <c r="J199" s="26">
        <f t="shared" si="3"/>
        <v>8.75</v>
      </c>
      <c r="K199" s="26">
        <f t="shared" si="4"/>
        <v>11.666666666666666</v>
      </c>
      <c r="L199" s="26">
        <f t="shared" si="5"/>
        <v>14.583333333333332</v>
      </c>
      <c r="M199" s="241"/>
      <c r="N199" s="4">
        <v>12</v>
      </c>
      <c r="O199" s="26" t="e">
        <f>O$202+((O$197-O$202)*3/7)</f>
        <v>#REF!</v>
      </c>
      <c r="P199" s="241"/>
      <c r="Q199" s="241"/>
      <c r="R199" s="4">
        <v>16</v>
      </c>
      <c r="S199" s="26">
        <f t="shared" si="6"/>
        <v>8.75</v>
      </c>
      <c r="T199" s="26">
        <f t="shared" si="7"/>
        <v>11.666666666666666</v>
      </c>
      <c r="U199" s="26">
        <f t="shared" si="8"/>
        <v>14.583333333333332</v>
      </c>
      <c r="V199" s="26">
        <f t="shared" si="9"/>
        <v>101.46241979922975</v>
      </c>
    </row>
    <row r="200" spans="2:22" ht="12.75">
      <c r="B200" s="241">
        <f t="shared" si="10"/>
        <v>187.33333333333331</v>
      </c>
      <c r="C200" s="241"/>
      <c r="D200" s="4">
        <v>17</v>
      </c>
      <c r="E200" s="26">
        <f t="shared" si="0"/>
        <v>8.2647058823529402</v>
      </c>
      <c r="F200" s="26">
        <f t="shared" si="1"/>
        <v>11.019607843137253</v>
      </c>
      <c r="G200" s="26">
        <f t="shared" si="2"/>
        <v>13.774509803921566</v>
      </c>
      <c r="H200" s="241"/>
      <c r="I200" s="4">
        <v>17</v>
      </c>
      <c r="J200" s="26">
        <f t="shared" si="3"/>
        <v>8.2647058823529402</v>
      </c>
      <c r="K200" s="26">
        <f t="shared" si="4"/>
        <v>11.019607843137253</v>
      </c>
      <c r="L200" s="26">
        <f t="shared" si="5"/>
        <v>13.774509803921566</v>
      </c>
      <c r="M200" s="241"/>
      <c r="N200" s="4">
        <v>13</v>
      </c>
      <c r="O200" s="26" t="e">
        <f>O$202+((O$197-O$202)*2/8)</f>
        <v>#REF!</v>
      </c>
      <c r="P200" s="241"/>
      <c r="Q200" s="241"/>
      <c r="R200" s="4">
        <v>17</v>
      </c>
      <c r="S200" s="26">
        <f t="shared" si="6"/>
        <v>8.2647058823529402</v>
      </c>
      <c r="T200" s="26">
        <f t="shared" si="7"/>
        <v>11.019607843137253</v>
      </c>
      <c r="U200" s="26">
        <f t="shared" si="8"/>
        <v>13.774509803921566</v>
      </c>
      <c r="V200" s="26">
        <f t="shared" si="9"/>
        <v>95.494042163980936</v>
      </c>
    </row>
    <row r="201" spans="2:22" ht="12.75">
      <c r="B201" s="241">
        <f t="shared" si="10"/>
        <v>187.99999999999997</v>
      </c>
      <c r="C201" s="241"/>
      <c r="D201" s="4">
        <v>18</v>
      </c>
      <c r="E201" s="26">
        <f t="shared" ref="E201:E263" si="11">(1-$F$271)*F201</f>
        <v>7.8333333333333321</v>
      </c>
      <c r="F201" s="26">
        <f t="shared" si="1"/>
        <v>10.444444444444443</v>
      </c>
      <c r="G201" s="26">
        <f t="shared" ref="G201:G263" si="12">F201*(1+$F$271)</f>
        <v>13.055555555555554</v>
      </c>
      <c r="H201" s="241"/>
      <c r="I201" s="4">
        <v>18</v>
      </c>
      <c r="J201" s="26">
        <f t="shared" ref="J201:J263" si="13">IF(E201&gt;$F$170,$F$170,E201)</f>
        <v>7.8333333333333321</v>
      </c>
      <c r="K201" s="26">
        <f t="shared" ref="K201:K263" si="14">IF(F201&gt;$F$171,$F$171,F201)</f>
        <v>10.444444444444443</v>
      </c>
      <c r="L201" s="26">
        <f t="shared" ref="L201:L263" si="15">IF(G201&gt;$F$172,$F$172,G201)</f>
        <v>13.055555555555554</v>
      </c>
      <c r="M201" s="241"/>
      <c r="N201" s="4">
        <v>14</v>
      </c>
      <c r="O201" s="26" t="e">
        <f>O$202+((O$197-O$202)*1/9)</f>
        <v>#REF!</v>
      </c>
      <c r="P201" s="241"/>
      <c r="Q201" s="241"/>
      <c r="R201" s="24">
        <v>18</v>
      </c>
      <c r="S201" s="26">
        <f t="shared" ref="S201:S203" si="16">IF($R201&gt;$F$168,0.0000000005,J201)</f>
        <v>5.0000000000000003E-10</v>
      </c>
      <c r="T201" s="26">
        <f t="shared" ref="T201:T203" si="17">IF($R201&gt;$F$168,0.0000000005,K201)</f>
        <v>5.0000000000000003E-10</v>
      </c>
      <c r="U201" s="26">
        <f t="shared" ref="U201:U203" si="18">IF($R201&gt;$F$168,0.0000000005,L201)</f>
        <v>5.0000000000000003E-10</v>
      </c>
      <c r="V201" s="26">
        <f t="shared" ref="V201:V203" si="19">$X$184/R201</f>
        <v>90.188817599315328</v>
      </c>
    </row>
    <row r="202" spans="2:22" ht="12.75">
      <c r="B202" s="241">
        <f t="shared" si="10"/>
        <v>188.66666666666666</v>
      </c>
      <c r="C202" s="241"/>
      <c r="D202" s="4">
        <v>19</v>
      </c>
      <c r="E202" s="26">
        <f t="shared" si="11"/>
        <v>7.4473684210526319</v>
      </c>
      <c r="F202" s="26">
        <f t="shared" si="1"/>
        <v>9.9298245614035086</v>
      </c>
      <c r="G202" s="26">
        <f t="shared" si="12"/>
        <v>12.412280701754385</v>
      </c>
      <c r="H202" s="241"/>
      <c r="I202" s="4">
        <v>19</v>
      </c>
      <c r="J202" s="26">
        <f t="shared" si="13"/>
        <v>7.4473684210526319</v>
      </c>
      <c r="K202" s="26">
        <f t="shared" si="14"/>
        <v>9.9298245614035086</v>
      </c>
      <c r="L202" s="26">
        <f t="shared" si="15"/>
        <v>12.412280701754385</v>
      </c>
      <c r="M202" s="241"/>
      <c r="N202" s="4">
        <v>15</v>
      </c>
      <c r="O202" s="26" t="e">
        <f>#REF!</f>
        <v>#REF!</v>
      </c>
      <c r="P202" s="241" t="s">
        <v>396</v>
      </c>
      <c r="Q202" s="241"/>
      <c r="R202" s="24">
        <v>19</v>
      </c>
      <c r="S202" s="26">
        <f t="shared" si="16"/>
        <v>5.0000000000000003E-10</v>
      </c>
      <c r="T202" s="26">
        <f t="shared" si="17"/>
        <v>5.0000000000000003E-10</v>
      </c>
      <c r="U202" s="26">
        <f t="shared" si="18"/>
        <v>5.0000000000000003E-10</v>
      </c>
      <c r="V202" s="26">
        <f t="shared" si="19"/>
        <v>85.442037725667163</v>
      </c>
    </row>
    <row r="203" spans="2:22" ht="12.75">
      <c r="B203" s="241">
        <f t="shared" si="10"/>
        <v>189.33333333333331</v>
      </c>
      <c r="C203" s="241"/>
      <c r="D203" s="4">
        <v>20</v>
      </c>
      <c r="E203" s="26">
        <f t="shared" si="11"/>
        <v>7.0999999999999988</v>
      </c>
      <c r="F203" s="26">
        <f t="shared" si="1"/>
        <v>9.466666666666665</v>
      </c>
      <c r="G203" s="26">
        <f t="shared" si="12"/>
        <v>11.833333333333332</v>
      </c>
      <c r="H203" s="241"/>
      <c r="I203" s="4">
        <v>20</v>
      </c>
      <c r="J203" s="26">
        <f t="shared" si="13"/>
        <v>7.0999999999999988</v>
      </c>
      <c r="K203" s="26">
        <f t="shared" si="14"/>
        <v>9.466666666666665</v>
      </c>
      <c r="L203" s="26">
        <f t="shared" si="15"/>
        <v>11.833333333333332</v>
      </c>
      <c r="M203" s="241"/>
      <c r="N203" s="4">
        <v>16</v>
      </c>
      <c r="O203" s="26" t="e">
        <f>O$207+((O$202-O$207)*4/6)</f>
        <v>#REF!</v>
      </c>
      <c r="P203" s="241"/>
      <c r="Q203" s="241"/>
      <c r="R203" s="24">
        <v>20</v>
      </c>
      <c r="S203" s="26">
        <f t="shared" si="16"/>
        <v>5.0000000000000003E-10</v>
      </c>
      <c r="T203" s="26">
        <f t="shared" si="17"/>
        <v>5.0000000000000003E-10</v>
      </c>
      <c r="U203" s="26">
        <f t="shared" si="18"/>
        <v>5.0000000000000003E-10</v>
      </c>
      <c r="V203" s="26">
        <f t="shared" si="19"/>
        <v>81.169935839383797</v>
      </c>
    </row>
    <row r="204" spans="2:22" ht="12.75">
      <c r="B204" s="241">
        <f t="shared" si="10"/>
        <v>189.99999999999997</v>
      </c>
      <c r="C204" s="241"/>
      <c r="D204" s="4">
        <v>21</v>
      </c>
      <c r="E204" s="26">
        <f t="shared" si="11"/>
        <v>6.7857142857142847</v>
      </c>
      <c r="F204" s="26">
        <f t="shared" si="1"/>
        <v>9.0476190476190457</v>
      </c>
      <c r="G204" s="26">
        <f t="shared" si="12"/>
        <v>11.309523809523807</v>
      </c>
      <c r="H204" s="241"/>
      <c r="I204" s="4">
        <v>21</v>
      </c>
      <c r="J204" s="26">
        <f t="shared" si="13"/>
        <v>6.7857142857142847</v>
      </c>
      <c r="K204" s="26">
        <f t="shared" si="14"/>
        <v>9.0476190476190457</v>
      </c>
      <c r="L204" s="26">
        <f t="shared" si="15"/>
        <v>11.309523809523807</v>
      </c>
      <c r="M204" s="241"/>
      <c r="N204" s="4">
        <v>17</v>
      </c>
      <c r="O204" s="26" t="e">
        <f>O$207+((O$202-O$207)*3/7)</f>
        <v>#REF!</v>
      </c>
      <c r="P204" s="241"/>
      <c r="Q204" s="241"/>
      <c r="R204" s="4">
        <v>21</v>
      </c>
      <c r="S204" s="26">
        <f t="shared" ref="S204:S219" si="20">IF($R204&gt;$F$168,0.0000000005,J204)</f>
        <v>5.0000000000000003E-10</v>
      </c>
      <c r="T204" s="26">
        <f t="shared" ref="T204:T219" si="21">IF($R204&gt;$F$168,0.0000000005,K204)</f>
        <v>5.0000000000000003E-10</v>
      </c>
      <c r="U204" s="26">
        <f t="shared" ref="U204:U219" si="22">IF($R204&gt;$F$168,0.0000000005,L204)</f>
        <v>5.0000000000000003E-10</v>
      </c>
      <c r="V204" s="26">
        <f t="shared" ref="V204:V240" si="23">$X$184/R204</f>
        <v>77.304700799413141</v>
      </c>
    </row>
    <row r="205" spans="2:22" ht="12.75">
      <c r="B205" s="241">
        <f t="shared" si="10"/>
        <v>190.66666666666666</v>
      </c>
      <c r="C205" s="241"/>
      <c r="D205" s="4">
        <v>22</v>
      </c>
      <c r="E205" s="26">
        <f t="shared" si="11"/>
        <v>6.5</v>
      </c>
      <c r="F205" s="26">
        <f t="shared" si="1"/>
        <v>8.6666666666666661</v>
      </c>
      <c r="G205" s="26">
        <f t="shared" si="12"/>
        <v>10.833333333333332</v>
      </c>
      <c r="H205" s="241"/>
      <c r="I205" s="4">
        <v>22</v>
      </c>
      <c r="J205" s="26">
        <f t="shared" si="13"/>
        <v>6.5</v>
      </c>
      <c r="K205" s="26">
        <f t="shared" si="14"/>
        <v>8.6666666666666661</v>
      </c>
      <c r="L205" s="26">
        <f t="shared" si="15"/>
        <v>10.833333333333332</v>
      </c>
      <c r="M205" s="241"/>
      <c r="N205" s="24">
        <v>18</v>
      </c>
      <c r="O205" s="26" t="e">
        <f>O$207+((O$202-O$207)*2/8)</f>
        <v>#REF!</v>
      </c>
      <c r="P205" s="241"/>
      <c r="Q205" s="241"/>
      <c r="R205" s="4">
        <v>22</v>
      </c>
      <c r="S205" s="26">
        <f t="shared" si="20"/>
        <v>5.0000000000000003E-10</v>
      </c>
      <c r="T205" s="26">
        <f t="shared" si="21"/>
        <v>5.0000000000000003E-10</v>
      </c>
      <c r="U205" s="26">
        <f t="shared" si="22"/>
        <v>5.0000000000000003E-10</v>
      </c>
      <c r="V205" s="26">
        <f t="shared" si="23"/>
        <v>73.790850763076179</v>
      </c>
    </row>
    <row r="206" spans="2:22" ht="12.75">
      <c r="B206" s="241">
        <f t="shared" si="10"/>
        <v>191.33333333333331</v>
      </c>
      <c r="C206" s="241"/>
      <c r="D206" s="4">
        <v>23</v>
      </c>
      <c r="E206" s="26">
        <f t="shared" si="11"/>
        <v>6.2391304347826084</v>
      </c>
      <c r="F206" s="26">
        <f t="shared" si="1"/>
        <v>8.3188405797101446</v>
      </c>
      <c r="G206" s="26">
        <f t="shared" si="12"/>
        <v>10.39855072463768</v>
      </c>
      <c r="H206" s="241"/>
      <c r="I206" s="4">
        <v>23</v>
      </c>
      <c r="J206" s="26">
        <f t="shared" si="13"/>
        <v>6.2391304347826084</v>
      </c>
      <c r="K206" s="26">
        <f t="shared" si="14"/>
        <v>8.3188405797101446</v>
      </c>
      <c r="L206" s="26">
        <f t="shared" si="15"/>
        <v>10.39855072463768</v>
      </c>
      <c r="M206" s="241"/>
      <c r="N206" s="24">
        <v>19</v>
      </c>
      <c r="O206" s="26" t="e">
        <f>O$207+((O$202-O$207)*1/9)</f>
        <v>#REF!</v>
      </c>
      <c r="P206" s="241"/>
      <c r="Q206" s="241"/>
      <c r="R206" s="4">
        <v>23</v>
      </c>
      <c r="S206" s="26">
        <f t="shared" si="20"/>
        <v>5.0000000000000003E-10</v>
      </c>
      <c r="T206" s="26">
        <f t="shared" si="21"/>
        <v>5.0000000000000003E-10</v>
      </c>
      <c r="U206" s="26">
        <f t="shared" si="22"/>
        <v>5.0000000000000003E-10</v>
      </c>
      <c r="V206" s="26">
        <f t="shared" si="23"/>
        <v>70.582552903812001</v>
      </c>
    </row>
    <row r="207" spans="2:22" ht="12.75">
      <c r="B207" s="241">
        <f t="shared" si="10"/>
        <v>191.99999999999997</v>
      </c>
      <c r="C207" s="241"/>
      <c r="D207" s="4">
        <v>24</v>
      </c>
      <c r="E207" s="26">
        <f t="shared" si="11"/>
        <v>5.9999999999999991</v>
      </c>
      <c r="F207" s="26">
        <f t="shared" si="1"/>
        <v>7.9999999999999991</v>
      </c>
      <c r="G207" s="26">
        <f t="shared" si="12"/>
        <v>9.9999999999999982</v>
      </c>
      <c r="H207" s="241"/>
      <c r="I207" s="4">
        <v>24</v>
      </c>
      <c r="J207" s="26">
        <f t="shared" si="13"/>
        <v>5.9999999999999991</v>
      </c>
      <c r="K207" s="26">
        <f t="shared" si="14"/>
        <v>7.9999999999999991</v>
      </c>
      <c r="L207" s="26">
        <f t="shared" si="15"/>
        <v>9.9999999999999982</v>
      </c>
      <c r="M207" s="241"/>
      <c r="N207" s="24">
        <v>20</v>
      </c>
      <c r="O207" s="26" t="e">
        <f>#REF!</f>
        <v>#REF!</v>
      </c>
      <c r="P207" s="241" t="s">
        <v>396</v>
      </c>
      <c r="Q207" s="241"/>
      <c r="R207" s="4">
        <v>24</v>
      </c>
      <c r="S207" s="26">
        <f t="shared" si="20"/>
        <v>5.0000000000000003E-10</v>
      </c>
      <c r="T207" s="26">
        <f t="shared" si="21"/>
        <v>5.0000000000000003E-10</v>
      </c>
      <c r="U207" s="26">
        <f t="shared" si="22"/>
        <v>5.0000000000000003E-10</v>
      </c>
      <c r="V207" s="26">
        <f t="shared" si="23"/>
        <v>67.6416131994865</v>
      </c>
    </row>
    <row r="208" spans="2:22" ht="12.75">
      <c r="B208" s="241">
        <f t="shared" si="10"/>
        <v>192.66666666666666</v>
      </c>
      <c r="C208" s="241"/>
      <c r="D208" s="4">
        <v>25</v>
      </c>
      <c r="E208" s="26">
        <f t="shared" si="11"/>
        <v>5.7799999999999994</v>
      </c>
      <c r="F208" s="26">
        <f t="shared" si="1"/>
        <v>7.7066666666666661</v>
      </c>
      <c r="G208" s="26">
        <f t="shared" si="12"/>
        <v>9.6333333333333329</v>
      </c>
      <c r="H208" s="241"/>
      <c r="I208" s="4">
        <v>25</v>
      </c>
      <c r="J208" s="26">
        <f t="shared" si="13"/>
        <v>5.7799999999999994</v>
      </c>
      <c r="K208" s="26">
        <f t="shared" si="14"/>
        <v>7.7066666666666661</v>
      </c>
      <c r="L208" s="26">
        <f t="shared" si="15"/>
        <v>9.6333333333333329</v>
      </c>
      <c r="M208" s="241"/>
      <c r="N208" s="241"/>
      <c r="O208" s="241"/>
      <c r="P208" s="241"/>
      <c r="Q208" s="241"/>
      <c r="R208" s="4">
        <v>25</v>
      </c>
      <c r="S208" s="26">
        <f t="shared" si="20"/>
        <v>5.0000000000000003E-10</v>
      </c>
      <c r="T208" s="26">
        <f t="shared" si="21"/>
        <v>5.0000000000000003E-10</v>
      </c>
      <c r="U208" s="26">
        <f t="shared" si="22"/>
        <v>5.0000000000000003E-10</v>
      </c>
      <c r="V208" s="26">
        <f t="shared" si="23"/>
        <v>64.935948671507035</v>
      </c>
    </row>
    <row r="209" spans="2:22" ht="12.75">
      <c r="B209" s="241">
        <f t="shared" si="10"/>
        <v>193.33333333333331</v>
      </c>
      <c r="C209" s="241"/>
      <c r="D209" s="4">
        <v>26</v>
      </c>
      <c r="E209" s="26">
        <f t="shared" si="11"/>
        <v>5.5769230769230766</v>
      </c>
      <c r="F209" s="26">
        <f t="shared" si="1"/>
        <v>7.4358974358974352</v>
      </c>
      <c r="G209" s="26">
        <f t="shared" si="12"/>
        <v>9.2948717948717938</v>
      </c>
      <c r="H209" s="241"/>
      <c r="I209" s="4">
        <v>26</v>
      </c>
      <c r="J209" s="26">
        <f t="shared" si="13"/>
        <v>5.5769230769230766</v>
      </c>
      <c r="K209" s="26">
        <f t="shared" si="14"/>
        <v>7.4358974358974352</v>
      </c>
      <c r="L209" s="26">
        <f t="shared" si="15"/>
        <v>9.2948717948717938</v>
      </c>
      <c r="M209" s="241"/>
      <c r="N209" s="241"/>
      <c r="O209" s="241"/>
      <c r="P209" s="241"/>
      <c r="Q209" s="241"/>
      <c r="R209" s="4">
        <v>26</v>
      </c>
      <c r="S209" s="26">
        <f t="shared" si="20"/>
        <v>5.0000000000000003E-10</v>
      </c>
      <c r="T209" s="26">
        <f t="shared" si="21"/>
        <v>5.0000000000000003E-10</v>
      </c>
      <c r="U209" s="26">
        <f t="shared" si="22"/>
        <v>5.0000000000000003E-10</v>
      </c>
      <c r="V209" s="26">
        <f t="shared" si="23"/>
        <v>62.438412184141384</v>
      </c>
    </row>
    <row r="210" spans="2:22" ht="12.75">
      <c r="B210" s="241">
        <f t="shared" si="10"/>
        <v>193.99999999999997</v>
      </c>
      <c r="C210" s="241"/>
      <c r="D210" s="4">
        <v>27</v>
      </c>
      <c r="E210" s="26">
        <f t="shared" si="11"/>
        <v>5.3888888888888884</v>
      </c>
      <c r="F210" s="26">
        <f t="shared" si="1"/>
        <v>7.1851851851851842</v>
      </c>
      <c r="G210" s="26">
        <f t="shared" si="12"/>
        <v>8.981481481481481</v>
      </c>
      <c r="H210" s="241"/>
      <c r="I210" s="4">
        <v>27</v>
      </c>
      <c r="J210" s="26">
        <f t="shared" si="13"/>
        <v>5.3888888888888884</v>
      </c>
      <c r="K210" s="26">
        <f t="shared" si="14"/>
        <v>7.1851851851851842</v>
      </c>
      <c r="L210" s="26">
        <f t="shared" si="15"/>
        <v>8.981481481481481</v>
      </c>
      <c r="M210" s="241"/>
      <c r="N210" s="241"/>
      <c r="O210" s="241"/>
      <c r="P210" s="241"/>
      <c r="Q210" s="241"/>
      <c r="R210" s="4">
        <v>27</v>
      </c>
      <c r="S210" s="26">
        <f t="shared" si="20"/>
        <v>5.0000000000000003E-10</v>
      </c>
      <c r="T210" s="26">
        <f t="shared" si="21"/>
        <v>5.0000000000000003E-10</v>
      </c>
      <c r="U210" s="26">
        <f t="shared" si="22"/>
        <v>5.0000000000000003E-10</v>
      </c>
      <c r="V210" s="26">
        <f t="shared" si="23"/>
        <v>60.125878399543552</v>
      </c>
    </row>
    <row r="211" spans="2:22" ht="12.75">
      <c r="B211" s="241">
        <f t="shared" si="10"/>
        <v>194.66666666666666</v>
      </c>
      <c r="C211" s="241"/>
      <c r="D211" s="4">
        <v>28</v>
      </c>
      <c r="E211" s="26">
        <f t="shared" si="11"/>
        <v>5.2142857142857135</v>
      </c>
      <c r="F211" s="26">
        <f t="shared" si="1"/>
        <v>6.9523809523809517</v>
      </c>
      <c r="G211" s="26">
        <f t="shared" si="12"/>
        <v>8.6904761904761898</v>
      </c>
      <c r="H211" s="241"/>
      <c r="I211" s="4">
        <v>28</v>
      </c>
      <c r="J211" s="26">
        <f t="shared" si="13"/>
        <v>5.2142857142857135</v>
      </c>
      <c r="K211" s="26">
        <f t="shared" si="14"/>
        <v>6.9523809523809517</v>
      </c>
      <c r="L211" s="26">
        <f t="shared" si="15"/>
        <v>8.6904761904761898</v>
      </c>
      <c r="M211" s="241"/>
      <c r="N211" s="241"/>
      <c r="O211" s="241"/>
      <c r="P211" s="241"/>
      <c r="Q211" s="241"/>
      <c r="R211" s="4">
        <v>28</v>
      </c>
      <c r="S211" s="26">
        <f t="shared" si="20"/>
        <v>5.0000000000000003E-10</v>
      </c>
      <c r="T211" s="26">
        <f t="shared" si="21"/>
        <v>5.0000000000000003E-10</v>
      </c>
      <c r="U211" s="26">
        <f t="shared" si="22"/>
        <v>5.0000000000000003E-10</v>
      </c>
      <c r="V211" s="26">
        <f t="shared" si="23"/>
        <v>57.978525599559859</v>
      </c>
    </row>
    <row r="212" spans="2:22" ht="12.75">
      <c r="B212" s="241">
        <f t="shared" si="10"/>
        <v>195.33333333333331</v>
      </c>
      <c r="C212" s="241"/>
      <c r="D212" s="4">
        <v>29</v>
      </c>
      <c r="E212" s="26">
        <f t="shared" si="11"/>
        <v>5.0517241379310338</v>
      </c>
      <c r="F212" s="26">
        <f t="shared" si="1"/>
        <v>6.7356321839080451</v>
      </c>
      <c r="G212" s="26">
        <f t="shared" si="12"/>
        <v>8.4195402298850563</v>
      </c>
      <c r="H212" s="241"/>
      <c r="I212" s="4">
        <v>29</v>
      </c>
      <c r="J212" s="26">
        <f t="shared" si="13"/>
        <v>5.0517241379310338</v>
      </c>
      <c r="K212" s="26">
        <f t="shared" si="14"/>
        <v>6.7356321839080451</v>
      </c>
      <c r="L212" s="26">
        <f t="shared" si="15"/>
        <v>8.4195402298850563</v>
      </c>
      <c r="M212" s="241"/>
      <c r="N212" s="241"/>
      <c r="O212" s="241"/>
      <c r="P212" s="241"/>
      <c r="Q212" s="241"/>
      <c r="R212" s="4">
        <v>29</v>
      </c>
      <c r="S212" s="26">
        <f t="shared" si="20"/>
        <v>5.0000000000000003E-10</v>
      </c>
      <c r="T212" s="26">
        <f t="shared" si="21"/>
        <v>5.0000000000000003E-10</v>
      </c>
      <c r="U212" s="26">
        <f t="shared" si="22"/>
        <v>5.0000000000000003E-10</v>
      </c>
      <c r="V212" s="26">
        <f t="shared" si="23"/>
        <v>55.979266096126757</v>
      </c>
    </row>
    <row r="213" spans="2:22" ht="12.75">
      <c r="B213" s="241">
        <f t="shared" si="10"/>
        <v>195.99999999999997</v>
      </c>
      <c r="C213" s="241"/>
      <c r="D213" s="4">
        <v>30</v>
      </c>
      <c r="E213" s="26">
        <f t="shared" si="11"/>
        <v>4.8999999999999995</v>
      </c>
      <c r="F213" s="26">
        <f t="shared" si="1"/>
        <v>6.5333333333333323</v>
      </c>
      <c r="G213" s="26">
        <f t="shared" si="12"/>
        <v>8.1666666666666661</v>
      </c>
      <c r="H213" s="241"/>
      <c r="I213" s="4">
        <v>30</v>
      </c>
      <c r="J213" s="26">
        <f t="shared" si="13"/>
        <v>4.8999999999999995</v>
      </c>
      <c r="K213" s="26">
        <f t="shared" si="14"/>
        <v>6.5333333333333323</v>
      </c>
      <c r="L213" s="26">
        <f t="shared" si="15"/>
        <v>8.1666666666666661</v>
      </c>
      <c r="M213" s="241"/>
      <c r="N213" s="241"/>
      <c r="O213" s="241"/>
      <c r="P213" s="241"/>
      <c r="Q213" s="241"/>
      <c r="R213" s="4">
        <v>30</v>
      </c>
      <c r="S213" s="26">
        <f t="shared" si="20"/>
        <v>5.0000000000000003E-10</v>
      </c>
      <c r="T213" s="26">
        <f t="shared" si="21"/>
        <v>5.0000000000000003E-10</v>
      </c>
      <c r="U213" s="26">
        <f t="shared" si="22"/>
        <v>5.0000000000000003E-10</v>
      </c>
      <c r="V213" s="26">
        <f t="shared" si="23"/>
        <v>54.113290559589203</v>
      </c>
    </row>
    <row r="214" spans="2:22" ht="12.75">
      <c r="B214" s="241">
        <f t="shared" si="10"/>
        <v>196.66666666666666</v>
      </c>
      <c r="C214" s="241"/>
      <c r="D214" s="4">
        <v>31</v>
      </c>
      <c r="E214" s="26">
        <f t="shared" si="11"/>
        <v>4.758064516129032</v>
      </c>
      <c r="F214" s="26">
        <f t="shared" si="1"/>
        <v>6.344086021505376</v>
      </c>
      <c r="G214" s="26">
        <f t="shared" si="12"/>
        <v>7.93010752688172</v>
      </c>
      <c r="H214" s="241"/>
      <c r="I214" s="4">
        <v>31</v>
      </c>
      <c r="J214" s="26">
        <f t="shared" si="13"/>
        <v>4.758064516129032</v>
      </c>
      <c r="K214" s="26">
        <f t="shared" si="14"/>
        <v>6.344086021505376</v>
      </c>
      <c r="L214" s="26">
        <f t="shared" si="15"/>
        <v>7.93010752688172</v>
      </c>
      <c r="M214" s="241"/>
      <c r="N214" s="241"/>
      <c r="O214" s="241"/>
      <c r="P214" s="241"/>
      <c r="Q214" s="241"/>
      <c r="R214" s="4">
        <v>31</v>
      </c>
      <c r="S214" s="26">
        <f t="shared" si="20"/>
        <v>5.0000000000000003E-10</v>
      </c>
      <c r="T214" s="26">
        <f t="shared" si="21"/>
        <v>5.0000000000000003E-10</v>
      </c>
      <c r="U214" s="26">
        <f t="shared" si="22"/>
        <v>5.0000000000000003E-10</v>
      </c>
      <c r="V214" s="26">
        <f t="shared" si="23"/>
        <v>52.367700541537936</v>
      </c>
    </row>
    <row r="215" spans="2:22" ht="12.75">
      <c r="B215" s="241">
        <f t="shared" si="10"/>
        <v>197.33333333333331</v>
      </c>
      <c r="C215" s="241"/>
      <c r="D215" s="4">
        <v>32</v>
      </c>
      <c r="E215" s="26">
        <f t="shared" si="11"/>
        <v>4.625</v>
      </c>
      <c r="F215" s="26">
        <f t="shared" si="1"/>
        <v>6.1666666666666661</v>
      </c>
      <c r="G215" s="26">
        <f t="shared" si="12"/>
        <v>7.7083333333333321</v>
      </c>
      <c r="H215" s="241"/>
      <c r="I215" s="4">
        <v>32</v>
      </c>
      <c r="J215" s="26">
        <f t="shared" si="13"/>
        <v>4.625</v>
      </c>
      <c r="K215" s="26">
        <f t="shared" si="14"/>
        <v>6.1666666666666661</v>
      </c>
      <c r="L215" s="26">
        <f t="shared" si="15"/>
        <v>7.7083333333333321</v>
      </c>
      <c r="M215" s="241"/>
      <c r="N215" s="241"/>
      <c r="O215" s="241"/>
      <c r="P215" s="241"/>
      <c r="Q215" s="241"/>
      <c r="R215" s="4">
        <v>32</v>
      </c>
      <c r="S215" s="26">
        <f t="shared" si="20"/>
        <v>5.0000000000000003E-10</v>
      </c>
      <c r="T215" s="26">
        <f t="shared" si="21"/>
        <v>5.0000000000000003E-10</v>
      </c>
      <c r="U215" s="26">
        <f t="shared" si="22"/>
        <v>5.0000000000000003E-10</v>
      </c>
      <c r="V215" s="26">
        <f t="shared" si="23"/>
        <v>50.731209899614875</v>
      </c>
    </row>
    <row r="216" spans="2:22" ht="12.75">
      <c r="B216" s="241">
        <f t="shared" si="10"/>
        <v>197.99999999999997</v>
      </c>
      <c r="C216" s="241"/>
      <c r="D216" s="4">
        <v>33</v>
      </c>
      <c r="E216" s="26">
        <f t="shared" si="11"/>
        <v>4.4999999999999991</v>
      </c>
      <c r="F216" s="26">
        <f t="shared" ref="F216:F247" si="24">($F$175+(D216-VINMAX)*$E$268/$E$269)/D216</f>
        <v>5.9999999999999991</v>
      </c>
      <c r="G216" s="26">
        <f t="shared" si="12"/>
        <v>7.4999999999999991</v>
      </c>
      <c r="H216" s="241"/>
      <c r="I216" s="4">
        <v>33</v>
      </c>
      <c r="J216" s="26">
        <f t="shared" si="13"/>
        <v>4.4999999999999991</v>
      </c>
      <c r="K216" s="26">
        <f t="shared" si="14"/>
        <v>5.9999999999999991</v>
      </c>
      <c r="L216" s="26">
        <f t="shared" si="15"/>
        <v>7.4999999999999991</v>
      </c>
      <c r="M216" s="241"/>
      <c r="N216" s="241"/>
      <c r="O216" s="241"/>
      <c r="P216" s="241"/>
      <c r="Q216" s="241"/>
      <c r="R216" s="4">
        <v>33</v>
      </c>
      <c r="S216" s="26">
        <f t="shared" si="20"/>
        <v>5.0000000000000003E-10</v>
      </c>
      <c r="T216" s="26">
        <f t="shared" si="21"/>
        <v>5.0000000000000003E-10</v>
      </c>
      <c r="U216" s="26">
        <f t="shared" si="22"/>
        <v>5.0000000000000003E-10</v>
      </c>
      <c r="V216" s="26">
        <f t="shared" si="23"/>
        <v>49.193900508717455</v>
      </c>
    </row>
    <row r="217" spans="2:22" ht="12.75">
      <c r="B217" s="241">
        <f t="shared" si="10"/>
        <v>198.66666666666666</v>
      </c>
      <c r="C217" s="241"/>
      <c r="D217" s="4">
        <v>34</v>
      </c>
      <c r="E217" s="26">
        <f t="shared" si="11"/>
        <v>4.3823529411764701</v>
      </c>
      <c r="F217" s="26">
        <f t="shared" si="24"/>
        <v>5.8431372549019605</v>
      </c>
      <c r="G217" s="26">
        <f t="shared" si="12"/>
        <v>7.3039215686274508</v>
      </c>
      <c r="H217" s="241"/>
      <c r="I217" s="4">
        <v>34</v>
      </c>
      <c r="J217" s="26">
        <f t="shared" si="13"/>
        <v>4.3823529411764701</v>
      </c>
      <c r="K217" s="26">
        <f t="shared" si="14"/>
        <v>5.8431372549019605</v>
      </c>
      <c r="L217" s="26">
        <f t="shared" si="15"/>
        <v>7.3039215686274508</v>
      </c>
      <c r="M217" s="241"/>
      <c r="N217" s="241"/>
      <c r="O217" s="241"/>
      <c r="P217" s="241"/>
      <c r="Q217" s="241"/>
      <c r="R217" s="4">
        <v>34</v>
      </c>
      <c r="S217" s="26">
        <f t="shared" si="20"/>
        <v>5.0000000000000003E-10</v>
      </c>
      <c r="T217" s="26">
        <f t="shared" si="21"/>
        <v>5.0000000000000003E-10</v>
      </c>
      <c r="U217" s="26">
        <f t="shared" si="22"/>
        <v>5.0000000000000003E-10</v>
      </c>
      <c r="V217" s="26">
        <f t="shared" si="23"/>
        <v>47.747021081990468</v>
      </c>
    </row>
    <row r="218" spans="2:22" ht="12.75">
      <c r="B218" s="241">
        <f t="shared" si="10"/>
        <v>199.33333333333331</v>
      </c>
      <c r="C218" s="241"/>
      <c r="D218" s="4">
        <v>35</v>
      </c>
      <c r="E218" s="26">
        <f t="shared" si="11"/>
        <v>4.2714285714285705</v>
      </c>
      <c r="F218" s="26">
        <f t="shared" si="24"/>
        <v>5.6952380952380945</v>
      </c>
      <c r="G218" s="26">
        <f t="shared" si="12"/>
        <v>7.1190476190476186</v>
      </c>
      <c r="H218" s="241"/>
      <c r="I218" s="4">
        <v>35</v>
      </c>
      <c r="J218" s="26">
        <f t="shared" si="13"/>
        <v>4.2714285714285705</v>
      </c>
      <c r="K218" s="26">
        <f t="shared" si="14"/>
        <v>5.6952380952380945</v>
      </c>
      <c r="L218" s="26">
        <f t="shared" si="15"/>
        <v>7.1190476190476186</v>
      </c>
      <c r="M218" s="241"/>
      <c r="N218" s="241"/>
      <c r="O218" s="241"/>
      <c r="P218" s="241"/>
      <c r="Q218" s="241"/>
      <c r="R218" s="4">
        <v>35</v>
      </c>
      <c r="S218" s="26">
        <f t="shared" si="20"/>
        <v>5.0000000000000003E-10</v>
      </c>
      <c r="T218" s="26">
        <f t="shared" si="21"/>
        <v>5.0000000000000003E-10</v>
      </c>
      <c r="U218" s="26">
        <f t="shared" si="22"/>
        <v>5.0000000000000003E-10</v>
      </c>
      <c r="V218" s="26">
        <f t="shared" si="23"/>
        <v>46.382820479647883</v>
      </c>
    </row>
    <row r="219" spans="2:22" ht="12.75">
      <c r="B219" s="241">
        <f t="shared" si="10"/>
        <v>199.99999999999997</v>
      </c>
      <c r="C219" s="241"/>
      <c r="D219" s="4">
        <v>36</v>
      </c>
      <c r="E219" s="26">
        <f t="shared" si="11"/>
        <v>4.1666666666666661</v>
      </c>
      <c r="F219" s="26">
        <f t="shared" si="24"/>
        <v>5.5555555555555545</v>
      </c>
      <c r="G219" s="26">
        <f t="shared" si="12"/>
        <v>6.9444444444444429</v>
      </c>
      <c r="H219" s="241"/>
      <c r="I219" s="4">
        <v>36</v>
      </c>
      <c r="J219" s="26">
        <f t="shared" si="13"/>
        <v>4.1666666666666661</v>
      </c>
      <c r="K219" s="26">
        <f t="shared" si="14"/>
        <v>5.5555555555555545</v>
      </c>
      <c r="L219" s="26">
        <f t="shared" si="15"/>
        <v>6.9444444444444429</v>
      </c>
      <c r="M219" s="241"/>
      <c r="N219" s="241"/>
      <c r="O219" s="241"/>
      <c r="P219" s="241"/>
      <c r="Q219" s="241"/>
      <c r="R219" s="4">
        <v>36</v>
      </c>
      <c r="S219" s="26">
        <f t="shared" si="20"/>
        <v>5.0000000000000003E-10</v>
      </c>
      <c r="T219" s="26">
        <f t="shared" si="21"/>
        <v>5.0000000000000003E-10</v>
      </c>
      <c r="U219" s="26">
        <f t="shared" si="22"/>
        <v>5.0000000000000003E-10</v>
      </c>
      <c r="V219" s="26">
        <f t="shared" si="23"/>
        <v>45.094408799657664</v>
      </c>
    </row>
    <row r="220" spans="2:22" ht="12.75">
      <c r="B220" s="241">
        <f t="shared" si="10"/>
        <v>200.66666666666666</v>
      </c>
      <c r="C220" s="241"/>
      <c r="D220" s="4">
        <v>37</v>
      </c>
      <c r="E220" s="26">
        <f t="shared" si="11"/>
        <v>4.0675675675675675</v>
      </c>
      <c r="F220" s="26">
        <f t="shared" si="24"/>
        <v>5.4234234234234231</v>
      </c>
      <c r="G220" s="26">
        <f t="shared" si="12"/>
        <v>6.7792792792792786</v>
      </c>
      <c r="H220" s="241"/>
      <c r="I220" s="4">
        <v>37</v>
      </c>
      <c r="J220" s="26">
        <f t="shared" si="13"/>
        <v>4.0675675675675675</v>
      </c>
      <c r="K220" s="26">
        <f t="shared" si="14"/>
        <v>5.4234234234234231</v>
      </c>
      <c r="L220" s="26">
        <f t="shared" si="15"/>
        <v>6.7792792792792786</v>
      </c>
      <c r="M220" s="241"/>
      <c r="N220" s="241"/>
      <c r="O220" s="241"/>
      <c r="P220" s="241"/>
      <c r="Q220" s="241"/>
      <c r="R220" s="4">
        <v>37</v>
      </c>
      <c r="S220" s="26">
        <f t="shared" ref="S220:S224" si="25">IF($R220&gt;$F$168,0.0000000005,J220)</f>
        <v>5.0000000000000003E-10</v>
      </c>
      <c r="T220" s="26">
        <f t="shared" ref="T220:T224" si="26">IF($R220&gt;$F$168,0.0000000005,K220)</f>
        <v>5.0000000000000003E-10</v>
      </c>
      <c r="U220" s="26">
        <f t="shared" ref="U220:U224" si="27">IF($R220&gt;$F$168,0.0000000005,L220)</f>
        <v>5.0000000000000003E-10</v>
      </c>
      <c r="V220" s="26">
        <f t="shared" ref="V220:V224" si="28">$X$184/R220</f>
        <v>43.875640994261516</v>
      </c>
    </row>
    <row r="221" spans="2:22" ht="12.75">
      <c r="B221" s="241">
        <f t="shared" si="10"/>
        <v>201.33333333333331</v>
      </c>
      <c r="C221" s="241"/>
      <c r="D221" s="4">
        <v>38</v>
      </c>
      <c r="E221" s="26">
        <f t="shared" si="11"/>
        <v>3.9736842105263155</v>
      </c>
      <c r="F221" s="26">
        <f t="shared" si="24"/>
        <v>5.2982456140350873</v>
      </c>
      <c r="G221" s="26">
        <f t="shared" si="12"/>
        <v>6.6228070175438596</v>
      </c>
      <c r="H221" s="241"/>
      <c r="I221" s="4">
        <v>38</v>
      </c>
      <c r="J221" s="26">
        <f t="shared" si="13"/>
        <v>3.9736842105263155</v>
      </c>
      <c r="K221" s="26">
        <f t="shared" si="14"/>
        <v>5.2982456140350873</v>
      </c>
      <c r="L221" s="26">
        <f t="shared" si="15"/>
        <v>6.6228070175438596</v>
      </c>
      <c r="M221" s="241"/>
      <c r="N221" s="241"/>
      <c r="O221" s="241"/>
      <c r="P221" s="241"/>
      <c r="Q221" s="241"/>
      <c r="R221" s="24">
        <v>38</v>
      </c>
      <c r="S221" s="26">
        <f t="shared" si="25"/>
        <v>5.0000000000000003E-10</v>
      </c>
      <c r="T221" s="26">
        <f t="shared" si="26"/>
        <v>5.0000000000000003E-10</v>
      </c>
      <c r="U221" s="26">
        <f t="shared" si="27"/>
        <v>5.0000000000000003E-10</v>
      </c>
      <c r="V221" s="26">
        <f t="shared" si="28"/>
        <v>42.721018862833581</v>
      </c>
    </row>
    <row r="222" spans="2:22" ht="12.75">
      <c r="B222" s="241">
        <f t="shared" si="10"/>
        <v>201.99999999999997</v>
      </c>
      <c r="C222" s="241"/>
      <c r="D222" s="4">
        <v>39</v>
      </c>
      <c r="E222" s="26">
        <f t="shared" si="11"/>
        <v>3.8846153846153841</v>
      </c>
      <c r="F222" s="26">
        <f t="shared" si="24"/>
        <v>5.1794871794871788</v>
      </c>
      <c r="G222" s="26">
        <f t="shared" si="12"/>
        <v>6.4743589743589736</v>
      </c>
      <c r="H222" s="241"/>
      <c r="I222" s="4">
        <v>39</v>
      </c>
      <c r="J222" s="26">
        <f t="shared" si="13"/>
        <v>3.8846153846153841</v>
      </c>
      <c r="K222" s="26">
        <f t="shared" si="14"/>
        <v>5.1794871794871788</v>
      </c>
      <c r="L222" s="26">
        <f t="shared" si="15"/>
        <v>6.4743589743589736</v>
      </c>
      <c r="M222" s="241"/>
      <c r="N222" s="241"/>
      <c r="O222" s="241"/>
      <c r="P222" s="241"/>
      <c r="Q222" s="241"/>
      <c r="R222" s="24">
        <v>39</v>
      </c>
      <c r="S222" s="26">
        <f t="shared" si="25"/>
        <v>5.0000000000000003E-10</v>
      </c>
      <c r="T222" s="26">
        <f t="shared" si="26"/>
        <v>5.0000000000000003E-10</v>
      </c>
      <c r="U222" s="26">
        <f t="shared" si="27"/>
        <v>5.0000000000000003E-10</v>
      </c>
      <c r="V222" s="26">
        <f t="shared" si="28"/>
        <v>41.625608122760923</v>
      </c>
    </row>
    <row r="223" spans="2:22" ht="12.75">
      <c r="B223" s="241">
        <f t="shared" si="10"/>
        <v>202.66666666666666</v>
      </c>
      <c r="C223" s="241"/>
      <c r="D223" s="4">
        <v>40</v>
      </c>
      <c r="E223" s="26">
        <f t="shared" si="11"/>
        <v>3.8</v>
      </c>
      <c r="F223" s="26">
        <f t="shared" si="24"/>
        <v>5.0666666666666664</v>
      </c>
      <c r="G223" s="26">
        <f t="shared" si="12"/>
        <v>6.333333333333333</v>
      </c>
      <c r="H223" s="241"/>
      <c r="I223" s="4">
        <v>40</v>
      </c>
      <c r="J223" s="26">
        <f t="shared" si="13"/>
        <v>3.8</v>
      </c>
      <c r="K223" s="26">
        <f t="shared" si="14"/>
        <v>5.0666666666666664</v>
      </c>
      <c r="L223" s="26">
        <f t="shared" si="15"/>
        <v>6.333333333333333</v>
      </c>
      <c r="M223" s="241"/>
      <c r="N223" s="241"/>
      <c r="O223" s="241"/>
      <c r="P223" s="241"/>
      <c r="Q223" s="241"/>
      <c r="R223" s="24">
        <v>40</v>
      </c>
      <c r="S223" s="26">
        <f t="shared" si="25"/>
        <v>5.0000000000000003E-10</v>
      </c>
      <c r="T223" s="26">
        <f t="shared" si="26"/>
        <v>5.0000000000000003E-10</v>
      </c>
      <c r="U223" s="26">
        <f t="shared" si="27"/>
        <v>5.0000000000000003E-10</v>
      </c>
      <c r="V223" s="26">
        <f t="shared" si="28"/>
        <v>40.584967919691898</v>
      </c>
    </row>
    <row r="224" spans="2:22" ht="12.75">
      <c r="B224" s="241">
        <f t="shared" si="10"/>
        <v>203.33333333333331</v>
      </c>
      <c r="C224" s="241"/>
      <c r="D224" s="4">
        <v>41</v>
      </c>
      <c r="E224" s="26">
        <f t="shared" si="11"/>
        <v>3.719512195121951</v>
      </c>
      <c r="F224" s="26">
        <f t="shared" si="24"/>
        <v>4.9593495934959346</v>
      </c>
      <c r="G224" s="26">
        <f t="shared" si="12"/>
        <v>6.1991869918699187</v>
      </c>
      <c r="H224" s="241"/>
      <c r="I224" s="4">
        <v>41</v>
      </c>
      <c r="J224" s="26">
        <f t="shared" si="13"/>
        <v>3.719512195121951</v>
      </c>
      <c r="K224" s="26">
        <f t="shared" si="14"/>
        <v>4.9593495934959346</v>
      </c>
      <c r="L224" s="26">
        <f t="shared" si="15"/>
        <v>6.1991869918699187</v>
      </c>
      <c r="M224" s="241"/>
      <c r="N224" s="241"/>
      <c r="O224" s="241"/>
      <c r="P224" s="241"/>
      <c r="Q224" s="241"/>
      <c r="R224" s="4">
        <v>41</v>
      </c>
      <c r="S224" s="26">
        <f t="shared" si="25"/>
        <v>5.0000000000000003E-10</v>
      </c>
      <c r="T224" s="26">
        <f t="shared" si="26"/>
        <v>5.0000000000000003E-10</v>
      </c>
      <c r="U224" s="26">
        <f t="shared" si="27"/>
        <v>5.0000000000000003E-10</v>
      </c>
      <c r="V224" s="26">
        <f t="shared" si="28"/>
        <v>39.59509065335795</v>
      </c>
    </row>
    <row r="225" spans="2:22" ht="12.75">
      <c r="B225" s="241">
        <f t="shared" si="10"/>
        <v>203.99999999999997</v>
      </c>
      <c r="C225" s="241"/>
      <c r="D225" s="4">
        <v>42</v>
      </c>
      <c r="E225" s="26">
        <f t="shared" si="11"/>
        <v>3.6428571428571423</v>
      </c>
      <c r="F225" s="26">
        <f t="shared" si="24"/>
        <v>4.8571428571428568</v>
      </c>
      <c r="G225" s="26">
        <f t="shared" si="12"/>
        <v>6.0714285714285712</v>
      </c>
      <c r="H225" s="241"/>
      <c r="I225" s="4">
        <v>42</v>
      </c>
      <c r="J225" s="26">
        <f t="shared" si="13"/>
        <v>3.6428571428571423</v>
      </c>
      <c r="K225" s="26">
        <f t="shared" si="14"/>
        <v>4.8571428571428568</v>
      </c>
      <c r="L225" s="26">
        <f t="shared" si="15"/>
        <v>6.0714285714285712</v>
      </c>
      <c r="M225" s="241"/>
      <c r="N225" s="241"/>
      <c r="O225" s="241"/>
      <c r="P225" s="241"/>
      <c r="Q225" s="241"/>
      <c r="R225" s="4">
        <v>42</v>
      </c>
      <c r="S225" s="26">
        <f t="shared" ref="S225:S240" si="29">IF($R225&gt;$F$168,0.0000000005,J225)</f>
        <v>5.0000000000000003E-10</v>
      </c>
      <c r="T225" s="26">
        <f t="shared" ref="T225:T240" si="30">IF($R225&gt;$F$168,0.0000000005,K225)</f>
        <v>5.0000000000000003E-10</v>
      </c>
      <c r="U225" s="26">
        <f t="shared" ref="U225:U240" si="31">IF($R225&gt;$F$168,0.0000000005,L225)</f>
        <v>5.0000000000000003E-10</v>
      </c>
      <c r="V225" s="26">
        <f t="shared" si="23"/>
        <v>38.65235039970657</v>
      </c>
    </row>
    <row r="226" spans="2:22" ht="12.75">
      <c r="B226" s="241">
        <f t="shared" si="10"/>
        <v>204.66666666666666</v>
      </c>
      <c r="C226" s="241"/>
      <c r="D226" s="4">
        <v>43</v>
      </c>
      <c r="E226" s="26">
        <f t="shared" si="11"/>
        <v>3.5697674418604648</v>
      </c>
      <c r="F226" s="26">
        <f t="shared" si="24"/>
        <v>4.7596899224806197</v>
      </c>
      <c r="G226" s="26">
        <f t="shared" si="12"/>
        <v>5.9496124031007742</v>
      </c>
      <c r="H226" s="241"/>
      <c r="I226" s="4">
        <v>43</v>
      </c>
      <c r="J226" s="26">
        <f t="shared" si="13"/>
        <v>3.5697674418604648</v>
      </c>
      <c r="K226" s="26">
        <f t="shared" si="14"/>
        <v>4.7596899224806197</v>
      </c>
      <c r="L226" s="26">
        <f t="shared" si="15"/>
        <v>5.9496124031007742</v>
      </c>
      <c r="M226" s="241"/>
      <c r="N226" s="241"/>
      <c r="O226" s="241"/>
      <c r="P226" s="241"/>
      <c r="Q226" s="241"/>
      <c r="R226" s="4">
        <v>43</v>
      </c>
      <c r="S226" s="26">
        <f t="shared" si="29"/>
        <v>5.0000000000000003E-10</v>
      </c>
      <c r="T226" s="26">
        <f t="shared" si="30"/>
        <v>5.0000000000000003E-10</v>
      </c>
      <c r="U226" s="26">
        <f t="shared" si="31"/>
        <v>5.0000000000000003E-10</v>
      </c>
      <c r="V226" s="26">
        <f t="shared" si="23"/>
        <v>37.753458529945952</v>
      </c>
    </row>
    <row r="227" spans="2:22" ht="12.75">
      <c r="B227" s="241">
        <f t="shared" si="10"/>
        <v>205.33333333333331</v>
      </c>
      <c r="C227" s="241"/>
      <c r="D227" s="4">
        <v>44</v>
      </c>
      <c r="E227" s="26">
        <f t="shared" si="11"/>
        <v>3.4999999999999996</v>
      </c>
      <c r="F227" s="26">
        <f t="shared" si="24"/>
        <v>4.6666666666666661</v>
      </c>
      <c r="G227" s="26">
        <f t="shared" si="12"/>
        <v>5.8333333333333321</v>
      </c>
      <c r="H227" s="241"/>
      <c r="I227" s="4">
        <v>44</v>
      </c>
      <c r="J227" s="26">
        <f t="shared" si="13"/>
        <v>3.4999999999999996</v>
      </c>
      <c r="K227" s="26">
        <f t="shared" si="14"/>
        <v>4.6666666666666661</v>
      </c>
      <c r="L227" s="26">
        <f t="shared" si="15"/>
        <v>5.8333333333333321</v>
      </c>
      <c r="M227" s="241"/>
      <c r="N227" s="241"/>
      <c r="O227" s="241"/>
      <c r="P227" s="241"/>
      <c r="Q227" s="241"/>
      <c r="R227" s="4">
        <v>44</v>
      </c>
      <c r="S227" s="26">
        <f t="shared" si="29"/>
        <v>5.0000000000000003E-10</v>
      </c>
      <c r="T227" s="26">
        <f t="shared" si="30"/>
        <v>5.0000000000000003E-10</v>
      </c>
      <c r="U227" s="26">
        <f t="shared" si="31"/>
        <v>5.0000000000000003E-10</v>
      </c>
      <c r="V227" s="26">
        <f t="shared" si="23"/>
        <v>36.895425381538089</v>
      </c>
    </row>
    <row r="228" spans="2:22" ht="12.75">
      <c r="B228" s="241">
        <f t="shared" si="10"/>
        <v>206</v>
      </c>
      <c r="C228" s="241"/>
      <c r="D228" s="4">
        <v>45</v>
      </c>
      <c r="E228" s="26">
        <f t="shared" si="11"/>
        <v>3.4333333333333331</v>
      </c>
      <c r="F228" s="26">
        <f t="shared" si="24"/>
        <v>4.5777777777777775</v>
      </c>
      <c r="G228" s="26">
        <f t="shared" si="12"/>
        <v>5.7222222222222214</v>
      </c>
      <c r="H228" s="241"/>
      <c r="I228" s="4">
        <v>45</v>
      </c>
      <c r="J228" s="26">
        <f t="shared" si="13"/>
        <v>3.4333333333333331</v>
      </c>
      <c r="K228" s="26">
        <f t="shared" si="14"/>
        <v>4.5777777777777775</v>
      </c>
      <c r="L228" s="26">
        <f t="shared" si="15"/>
        <v>5.7222222222222214</v>
      </c>
      <c r="M228" s="241"/>
      <c r="N228" s="241"/>
      <c r="O228" s="241"/>
      <c r="P228" s="241"/>
      <c r="Q228" s="241"/>
      <c r="R228" s="4">
        <v>45</v>
      </c>
      <c r="S228" s="26">
        <f t="shared" si="29"/>
        <v>5.0000000000000003E-10</v>
      </c>
      <c r="T228" s="26">
        <f t="shared" si="30"/>
        <v>5.0000000000000003E-10</v>
      </c>
      <c r="U228" s="26">
        <f t="shared" si="31"/>
        <v>5.0000000000000003E-10</v>
      </c>
      <c r="V228" s="26">
        <f t="shared" si="23"/>
        <v>36.075527039726133</v>
      </c>
    </row>
    <row r="229" spans="2:22" ht="12.75">
      <c r="B229" s="241">
        <f t="shared" si="10"/>
        <v>206.66666666666666</v>
      </c>
      <c r="C229" s="241"/>
      <c r="D229" s="4">
        <v>46</v>
      </c>
      <c r="E229" s="26">
        <f t="shared" si="11"/>
        <v>3.3695652173913038</v>
      </c>
      <c r="F229" s="26">
        <f t="shared" si="24"/>
        <v>4.4927536231884053</v>
      </c>
      <c r="G229" s="26">
        <f t="shared" si="12"/>
        <v>5.6159420289855069</v>
      </c>
      <c r="H229" s="241"/>
      <c r="I229" s="4">
        <v>46</v>
      </c>
      <c r="J229" s="26">
        <f t="shared" si="13"/>
        <v>3.3695652173913038</v>
      </c>
      <c r="K229" s="26">
        <f t="shared" si="14"/>
        <v>4.4927536231884053</v>
      </c>
      <c r="L229" s="26">
        <f t="shared" si="15"/>
        <v>5.6159420289855069</v>
      </c>
      <c r="M229" s="241"/>
      <c r="N229" s="241"/>
      <c r="O229" s="241"/>
      <c r="P229" s="241"/>
      <c r="Q229" s="241"/>
      <c r="R229" s="4">
        <v>46</v>
      </c>
      <c r="S229" s="26">
        <f t="shared" si="29"/>
        <v>5.0000000000000003E-10</v>
      </c>
      <c r="T229" s="26">
        <f t="shared" si="30"/>
        <v>5.0000000000000003E-10</v>
      </c>
      <c r="U229" s="26">
        <f t="shared" si="31"/>
        <v>5.0000000000000003E-10</v>
      </c>
      <c r="V229" s="26">
        <f t="shared" si="23"/>
        <v>35.291276451906</v>
      </c>
    </row>
    <row r="230" spans="2:22" ht="12.75">
      <c r="B230" s="241">
        <f t="shared" si="10"/>
        <v>207.33333333333331</v>
      </c>
      <c r="C230" s="241"/>
      <c r="D230" s="4">
        <v>47</v>
      </c>
      <c r="E230" s="26">
        <f t="shared" si="11"/>
        <v>3.308510638297872</v>
      </c>
      <c r="F230" s="26">
        <f t="shared" si="24"/>
        <v>4.4113475177304959</v>
      </c>
      <c r="G230" s="26">
        <f t="shared" si="12"/>
        <v>5.5141843971631204</v>
      </c>
      <c r="H230" s="241"/>
      <c r="I230" s="4">
        <v>47</v>
      </c>
      <c r="J230" s="26">
        <f t="shared" si="13"/>
        <v>3.308510638297872</v>
      </c>
      <c r="K230" s="26">
        <f t="shared" si="14"/>
        <v>4.4113475177304959</v>
      </c>
      <c r="L230" s="26">
        <f t="shared" si="15"/>
        <v>5.5141843971631204</v>
      </c>
      <c r="M230" s="241"/>
      <c r="N230" s="241"/>
      <c r="O230" s="241"/>
      <c r="P230" s="241"/>
      <c r="Q230" s="241"/>
      <c r="R230" s="4">
        <v>47</v>
      </c>
      <c r="S230" s="26">
        <f t="shared" si="29"/>
        <v>5.0000000000000003E-10</v>
      </c>
      <c r="T230" s="26">
        <f t="shared" si="30"/>
        <v>5.0000000000000003E-10</v>
      </c>
      <c r="U230" s="26">
        <f t="shared" si="31"/>
        <v>5.0000000000000003E-10</v>
      </c>
      <c r="V230" s="26">
        <f t="shared" si="23"/>
        <v>34.540398229525024</v>
      </c>
    </row>
    <row r="231" spans="2:22" ht="12.75">
      <c r="B231" s="241">
        <f t="shared" si="10"/>
        <v>208</v>
      </c>
      <c r="C231" s="241"/>
      <c r="D231" s="4">
        <v>48</v>
      </c>
      <c r="E231" s="26">
        <f t="shared" si="11"/>
        <v>3.25</v>
      </c>
      <c r="F231" s="26">
        <f t="shared" si="24"/>
        <v>4.333333333333333</v>
      </c>
      <c r="G231" s="26">
        <f t="shared" si="12"/>
        <v>5.4166666666666661</v>
      </c>
      <c r="H231" s="241"/>
      <c r="I231" s="4">
        <v>48</v>
      </c>
      <c r="J231" s="26">
        <f t="shared" si="13"/>
        <v>3.25</v>
      </c>
      <c r="K231" s="26">
        <f t="shared" si="14"/>
        <v>4.333333333333333</v>
      </c>
      <c r="L231" s="26">
        <f t="shared" si="15"/>
        <v>5.4166666666666661</v>
      </c>
      <c r="M231" s="241"/>
      <c r="N231" s="241"/>
      <c r="O231" s="241"/>
      <c r="P231" s="241"/>
      <c r="Q231" s="241"/>
      <c r="R231" s="4">
        <v>48</v>
      </c>
      <c r="S231" s="26">
        <f t="shared" si="29"/>
        <v>5.0000000000000003E-10</v>
      </c>
      <c r="T231" s="26">
        <f t="shared" si="30"/>
        <v>5.0000000000000003E-10</v>
      </c>
      <c r="U231" s="26">
        <f t="shared" si="31"/>
        <v>5.0000000000000003E-10</v>
      </c>
      <c r="V231" s="26">
        <f t="shared" si="23"/>
        <v>33.82080659974325</v>
      </c>
    </row>
    <row r="232" spans="2:22" ht="12.75">
      <c r="B232" s="241">
        <f t="shared" si="10"/>
        <v>208.66666666666666</v>
      </c>
      <c r="C232" s="241"/>
      <c r="D232" s="4">
        <v>49</v>
      </c>
      <c r="E232" s="26">
        <f t="shared" si="11"/>
        <v>3.193877551020408</v>
      </c>
      <c r="F232" s="26">
        <f t="shared" si="24"/>
        <v>4.2585034013605441</v>
      </c>
      <c r="G232" s="26">
        <f t="shared" si="12"/>
        <v>5.3231292517006796</v>
      </c>
      <c r="H232" s="241"/>
      <c r="I232" s="4">
        <v>49</v>
      </c>
      <c r="J232" s="26">
        <f t="shared" si="13"/>
        <v>3.193877551020408</v>
      </c>
      <c r="K232" s="26">
        <f t="shared" si="14"/>
        <v>4.2585034013605441</v>
      </c>
      <c r="L232" s="26">
        <f t="shared" si="15"/>
        <v>5.3231292517006796</v>
      </c>
      <c r="M232" s="241"/>
      <c r="N232" s="241"/>
      <c r="O232" s="241"/>
      <c r="P232" s="241"/>
      <c r="Q232" s="241"/>
      <c r="R232" s="4">
        <v>49</v>
      </c>
      <c r="S232" s="26">
        <f t="shared" si="29"/>
        <v>5.0000000000000003E-10</v>
      </c>
      <c r="T232" s="26">
        <f t="shared" si="30"/>
        <v>5.0000000000000003E-10</v>
      </c>
      <c r="U232" s="26">
        <f t="shared" si="31"/>
        <v>5.0000000000000003E-10</v>
      </c>
      <c r="V232" s="26">
        <f t="shared" si="23"/>
        <v>33.130586056891346</v>
      </c>
    </row>
    <row r="233" spans="2:22" ht="12.75">
      <c r="B233" s="241">
        <f t="shared" si="10"/>
        <v>209.33333333333331</v>
      </c>
      <c r="C233" s="241"/>
      <c r="D233" s="4">
        <v>50</v>
      </c>
      <c r="E233" s="26">
        <f t="shared" si="11"/>
        <v>3.1399999999999997</v>
      </c>
      <c r="F233" s="26">
        <f t="shared" si="24"/>
        <v>4.1866666666666665</v>
      </c>
      <c r="G233" s="26">
        <f t="shared" si="12"/>
        <v>5.2333333333333334</v>
      </c>
      <c r="H233" s="241"/>
      <c r="I233" s="4">
        <v>50</v>
      </c>
      <c r="J233" s="26">
        <f t="shared" si="13"/>
        <v>3.1399999999999997</v>
      </c>
      <c r="K233" s="26">
        <f t="shared" si="14"/>
        <v>4.1866666666666665</v>
      </c>
      <c r="L233" s="26">
        <f t="shared" si="15"/>
        <v>5.2333333333333334</v>
      </c>
      <c r="M233" s="241"/>
      <c r="N233" s="241"/>
      <c r="O233" s="241"/>
      <c r="P233" s="241"/>
      <c r="Q233" s="241"/>
      <c r="R233" s="4">
        <v>50</v>
      </c>
      <c r="S233" s="26">
        <f t="shared" si="29"/>
        <v>5.0000000000000003E-10</v>
      </c>
      <c r="T233" s="26">
        <f t="shared" si="30"/>
        <v>5.0000000000000003E-10</v>
      </c>
      <c r="U233" s="26">
        <f t="shared" si="31"/>
        <v>5.0000000000000003E-10</v>
      </c>
      <c r="V233" s="26">
        <f t="shared" si="23"/>
        <v>32.467974335753517</v>
      </c>
    </row>
    <row r="234" spans="2:22" ht="12.75">
      <c r="B234" s="241">
        <f t="shared" si="10"/>
        <v>209.99999999999997</v>
      </c>
      <c r="C234" s="241"/>
      <c r="D234" s="4">
        <v>51</v>
      </c>
      <c r="E234" s="26">
        <f t="shared" si="11"/>
        <v>3.0882352941176467</v>
      </c>
      <c r="F234" s="26">
        <f t="shared" si="24"/>
        <v>4.117647058823529</v>
      </c>
      <c r="G234" s="26">
        <f t="shared" si="12"/>
        <v>5.1470588235294112</v>
      </c>
      <c r="H234" s="241"/>
      <c r="I234" s="4">
        <v>51</v>
      </c>
      <c r="J234" s="26">
        <f t="shared" si="13"/>
        <v>3.0882352941176467</v>
      </c>
      <c r="K234" s="26">
        <f t="shared" si="14"/>
        <v>4.117647058823529</v>
      </c>
      <c r="L234" s="26">
        <f t="shared" si="15"/>
        <v>5.1470588235294112</v>
      </c>
      <c r="M234" s="241"/>
      <c r="N234" s="241"/>
      <c r="O234" s="241"/>
      <c r="P234" s="241"/>
      <c r="Q234" s="241"/>
      <c r="R234" s="4">
        <v>51</v>
      </c>
      <c r="S234" s="26">
        <f t="shared" si="29"/>
        <v>5.0000000000000003E-10</v>
      </c>
      <c r="T234" s="26">
        <f t="shared" si="30"/>
        <v>5.0000000000000003E-10</v>
      </c>
      <c r="U234" s="26">
        <f t="shared" si="31"/>
        <v>5.0000000000000003E-10</v>
      </c>
      <c r="V234" s="26">
        <f t="shared" si="23"/>
        <v>31.831347387993645</v>
      </c>
    </row>
    <row r="235" spans="2:22" ht="12.75">
      <c r="B235" s="241">
        <f t="shared" si="10"/>
        <v>210.66666666666666</v>
      </c>
      <c r="C235" s="241"/>
      <c r="D235" s="4">
        <v>52</v>
      </c>
      <c r="E235" s="26">
        <f t="shared" si="11"/>
        <v>3.0384615384615383</v>
      </c>
      <c r="F235" s="26">
        <f t="shared" si="24"/>
        <v>4.0512820512820511</v>
      </c>
      <c r="G235" s="26">
        <f t="shared" si="12"/>
        <v>5.0641025641025639</v>
      </c>
      <c r="H235" s="241"/>
      <c r="I235" s="4">
        <v>52</v>
      </c>
      <c r="J235" s="26">
        <f t="shared" si="13"/>
        <v>3.0384615384615383</v>
      </c>
      <c r="K235" s="26">
        <f t="shared" si="14"/>
        <v>4.0512820512820511</v>
      </c>
      <c r="L235" s="26">
        <f t="shared" si="15"/>
        <v>5.0641025641025639</v>
      </c>
      <c r="M235" s="241"/>
      <c r="N235" s="241"/>
      <c r="O235" s="241"/>
      <c r="P235" s="241"/>
      <c r="Q235" s="241"/>
      <c r="R235" s="4">
        <v>52</v>
      </c>
      <c r="S235" s="26">
        <f t="shared" si="29"/>
        <v>5.0000000000000003E-10</v>
      </c>
      <c r="T235" s="26">
        <f t="shared" si="30"/>
        <v>5.0000000000000003E-10</v>
      </c>
      <c r="U235" s="26">
        <f t="shared" si="31"/>
        <v>5.0000000000000003E-10</v>
      </c>
      <c r="V235" s="26">
        <f t="shared" si="23"/>
        <v>31.219206092070692</v>
      </c>
    </row>
    <row r="236" spans="2:22" ht="12.75">
      <c r="B236" s="241">
        <f t="shared" si="10"/>
        <v>211.33333333333331</v>
      </c>
      <c r="C236" s="241"/>
      <c r="D236" s="4">
        <v>53</v>
      </c>
      <c r="E236" s="26">
        <f t="shared" si="11"/>
        <v>2.9905660377358485</v>
      </c>
      <c r="F236" s="26">
        <f t="shared" si="24"/>
        <v>3.9874213836477983</v>
      </c>
      <c r="G236" s="26">
        <f t="shared" si="12"/>
        <v>4.9842767295597481</v>
      </c>
      <c r="H236" s="241"/>
      <c r="I236" s="4">
        <v>53</v>
      </c>
      <c r="J236" s="26">
        <f t="shared" si="13"/>
        <v>2.9905660377358485</v>
      </c>
      <c r="K236" s="26">
        <f t="shared" si="14"/>
        <v>3.9874213836477983</v>
      </c>
      <c r="L236" s="26">
        <f t="shared" si="15"/>
        <v>4.9842767295597481</v>
      </c>
      <c r="M236" s="241"/>
      <c r="N236" s="241"/>
      <c r="O236" s="241"/>
      <c r="P236" s="241"/>
      <c r="Q236" s="241"/>
      <c r="R236" s="4">
        <v>53</v>
      </c>
      <c r="S236" s="26">
        <f t="shared" si="29"/>
        <v>5.0000000000000003E-10</v>
      </c>
      <c r="T236" s="26">
        <f t="shared" si="30"/>
        <v>5.0000000000000003E-10</v>
      </c>
      <c r="U236" s="26">
        <f t="shared" si="31"/>
        <v>5.0000000000000003E-10</v>
      </c>
      <c r="V236" s="26">
        <f t="shared" si="23"/>
        <v>30.630164467692001</v>
      </c>
    </row>
    <row r="237" spans="2:22" ht="12.75">
      <c r="B237" s="241">
        <f t="shared" si="10"/>
        <v>211.99999999999997</v>
      </c>
      <c r="C237" s="241"/>
      <c r="D237" s="4">
        <v>54</v>
      </c>
      <c r="E237" s="26">
        <f t="shared" si="11"/>
        <v>2.9444444444444442</v>
      </c>
      <c r="F237" s="26">
        <f t="shared" si="24"/>
        <v>3.9259259259259256</v>
      </c>
      <c r="G237" s="26">
        <f t="shared" si="12"/>
        <v>4.9074074074074066</v>
      </c>
      <c r="H237" s="241"/>
      <c r="I237" s="4">
        <v>54</v>
      </c>
      <c r="J237" s="26">
        <f t="shared" si="13"/>
        <v>2.9444444444444442</v>
      </c>
      <c r="K237" s="26">
        <f t="shared" si="14"/>
        <v>3.9259259259259256</v>
      </c>
      <c r="L237" s="26">
        <f t="shared" si="15"/>
        <v>4.9074074074074066</v>
      </c>
      <c r="M237" s="241"/>
      <c r="N237" s="241"/>
      <c r="O237" s="241"/>
      <c r="P237" s="241"/>
      <c r="Q237" s="241"/>
      <c r="R237" s="4">
        <v>54</v>
      </c>
      <c r="S237" s="26">
        <f t="shared" si="29"/>
        <v>5.0000000000000003E-10</v>
      </c>
      <c r="T237" s="26">
        <f t="shared" si="30"/>
        <v>5.0000000000000003E-10</v>
      </c>
      <c r="U237" s="26">
        <f t="shared" si="31"/>
        <v>5.0000000000000003E-10</v>
      </c>
      <c r="V237" s="26">
        <f t="shared" si="23"/>
        <v>30.062939199771776</v>
      </c>
    </row>
    <row r="238" spans="2:22" ht="12.75">
      <c r="B238" s="241">
        <f t="shared" si="10"/>
        <v>212.66666666666666</v>
      </c>
      <c r="C238" s="241"/>
      <c r="D238" s="4">
        <v>55</v>
      </c>
      <c r="E238" s="26">
        <f t="shared" si="11"/>
        <v>2.9</v>
      </c>
      <c r="F238" s="26">
        <f t="shared" si="24"/>
        <v>3.8666666666666667</v>
      </c>
      <c r="G238" s="26">
        <f t="shared" si="12"/>
        <v>4.833333333333333</v>
      </c>
      <c r="H238" s="241"/>
      <c r="I238" s="4">
        <v>55</v>
      </c>
      <c r="J238" s="26">
        <f t="shared" si="13"/>
        <v>2.9</v>
      </c>
      <c r="K238" s="26">
        <f t="shared" si="14"/>
        <v>3.8666666666666667</v>
      </c>
      <c r="L238" s="26">
        <f t="shared" si="15"/>
        <v>4.833333333333333</v>
      </c>
      <c r="M238" s="241"/>
      <c r="N238" s="241"/>
      <c r="O238" s="241"/>
      <c r="P238" s="241"/>
      <c r="Q238" s="241"/>
      <c r="R238" s="4">
        <v>55</v>
      </c>
      <c r="S238" s="26">
        <f t="shared" si="29"/>
        <v>5.0000000000000003E-10</v>
      </c>
      <c r="T238" s="26">
        <f t="shared" si="30"/>
        <v>5.0000000000000003E-10</v>
      </c>
      <c r="U238" s="26">
        <f t="shared" si="31"/>
        <v>5.0000000000000003E-10</v>
      </c>
      <c r="V238" s="26">
        <f t="shared" si="23"/>
        <v>29.516340305230472</v>
      </c>
    </row>
    <row r="239" spans="2:22" ht="12.75">
      <c r="B239" s="241">
        <f t="shared" si="10"/>
        <v>213.33333333333331</v>
      </c>
      <c r="C239" s="241"/>
      <c r="D239" s="4">
        <v>56</v>
      </c>
      <c r="E239" s="26">
        <f t="shared" si="11"/>
        <v>2.8571428571428568</v>
      </c>
      <c r="F239" s="26">
        <f t="shared" si="24"/>
        <v>3.8095238095238093</v>
      </c>
      <c r="G239" s="26">
        <f t="shared" si="12"/>
        <v>4.7619047619047619</v>
      </c>
      <c r="H239" s="241"/>
      <c r="I239" s="4">
        <v>56</v>
      </c>
      <c r="J239" s="26">
        <f t="shared" si="13"/>
        <v>2.8571428571428568</v>
      </c>
      <c r="K239" s="26">
        <f t="shared" si="14"/>
        <v>3.8095238095238093</v>
      </c>
      <c r="L239" s="26">
        <f t="shared" si="15"/>
        <v>4.7619047619047619</v>
      </c>
      <c r="M239" s="241"/>
      <c r="N239" s="241"/>
      <c r="O239" s="241"/>
      <c r="P239" s="241"/>
      <c r="Q239" s="241"/>
      <c r="R239" s="4">
        <v>56</v>
      </c>
      <c r="S239" s="26">
        <f t="shared" si="29"/>
        <v>5.0000000000000003E-10</v>
      </c>
      <c r="T239" s="26">
        <f t="shared" si="30"/>
        <v>5.0000000000000003E-10</v>
      </c>
      <c r="U239" s="26">
        <f t="shared" si="31"/>
        <v>5.0000000000000003E-10</v>
      </c>
      <c r="V239" s="26">
        <f t="shared" si="23"/>
        <v>28.989262799779929</v>
      </c>
    </row>
    <row r="240" spans="2:22" ht="12.75">
      <c r="B240" s="241">
        <f t="shared" si="10"/>
        <v>213.99999999999997</v>
      </c>
      <c r="C240" s="241"/>
      <c r="D240" s="4">
        <v>57</v>
      </c>
      <c r="E240" s="26">
        <f t="shared" si="11"/>
        <v>2.8157894736842102</v>
      </c>
      <c r="F240" s="26">
        <f t="shared" si="24"/>
        <v>3.7543859649122804</v>
      </c>
      <c r="G240" s="26">
        <f t="shared" si="12"/>
        <v>4.6929824561403501</v>
      </c>
      <c r="H240" s="241"/>
      <c r="I240" s="4">
        <v>57</v>
      </c>
      <c r="J240" s="26">
        <f t="shared" si="13"/>
        <v>2.8157894736842102</v>
      </c>
      <c r="K240" s="26">
        <f t="shared" si="14"/>
        <v>3.7543859649122804</v>
      </c>
      <c r="L240" s="26">
        <f t="shared" si="15"/>
        <v>4.6929824561403501</v>
      </c>
      <c r="M240" s="241"/>
      <c r="N240" s="241"/>
      <c r="O240" s="241"/>
      <c r="P240" s="241"/>
      <c r="Q240" s="241"/>
      <c r="R240" s="4">
        <v>57</v>
      </c>
      <c r="S240" s="26">
        <f t="shared" si="29"/>
        <v>5.0000000000000003E-10</v>
      </c>
      <c r="T240" s="26">
        <f t="shared" si="30"/>
        <v>5.0000000000000003E-10</v>
      </c>
      <c r="U240" s="26">
        <f t="shared" si="31"/>
        <v>5.0000000000000003E-10</v>
      </c>
      <c r="V240" s="26">
        <f t="shared" si="23"/>
        <v>28.480679241889053</v>
      </c>
    </row>
    <row r="241" spans="2:22" ht="12.75">
      <c r="B241" s="241">
        <f t="shared" si="10"/>
        <v>214.66666666666666</v>
      </c>
      <c r="C241" s="241"/>
      <c r="D241" s="4">
        <v>58</v>
      </c>
      <c r="E241" s="26">
        <f t="shared" si="11"/>
        <v>2.7758620689655169</v>
      </c>
      <c r="F241" s="26">
        <f t="shared" si="24"/>
        <v>3.701149425287356</v>
      </c>
      <c r="G241" s="26">
        <f t="shared" si="12"/>
        <v>4.6264367816091951</v>
      </c>
      <c r="H241" s="241"/>
      <c r="I241" s="4">
        <v>58</v>
      </c>
      <c r="J241" s="26">
        <f t="shared" si="13"/>
        <v>2.7758620689655169</v>
      </c>
      <c r="K241" s="26">
        <f t="shared" si="14"/>
        <v>3.701149425287356</v>
      </c>
      <c r="L241" s="26">
        <f t="shared" si="15"/>
        <v>4.6264367816091951</v>
      </c>
      <c r="M241" s="241"/>
      <c r="N241" s="241"/>
      <c r="O241" s="241"/>
      <c r="P241" s="241"/>
      <c r="Q241" s="241"/>
      <c r="R241" s="24">
        <v>58</v>
      </c>
      <c r="S241" s="26">
        <f t="shared" ref="S241:S263" si="32">IF($R241&gt;$F$168,0.0000000005,J241)</f>
        <v>5.0000000000000003E-10</v>
      </c>
      <c r="T241" s="26">
        <f t="shared" ref="T241:T263" si="33">IF($R241&gt;$F$168,0.0000000005,K241)</f>
        <v>5.0000000000000003E-10</v>
      </c>
      <c r="U241" s="26">
        <f t="shared" ref="U241:U263" si="34">IF($R241&gt;$F$168,0.0000000005,L241)</f>
        <v>5.0000000000000003E-10</v>
      </c>
      <c r="V241" s="26">
        <f t="shared" ref="V241:V263" si="35">$X$184/R241</f>
        <v>27.989633048063379</v>
      </c>
    </row>
    <row r="242" spans="2:22" ht="12.75">
      <c r="B242" s="241">
        <f t="shared" si="10"/>
        <v>215.33333333333331</v>
      </c>
      <c r="C242" s="241"/>
      <c r="D242" s="4">
        <v>59</v>
      </c>
      <c r="E242" s="26">
        <f t="shared" si="11"/>
        <v>2.7372881355932202</v>
      </c>
      <c r="F242" s="26">
        <f t="shared" si="24"/>
        <v>3.6497175141242937</v>
      </c>
      <c r="G242" s="26">
        <f t="shared" si="12"/>
        <v>4.5621468926553668</v>
      </c>
      <c r="H242" s="241"/>
      <c r="I242" s="4">
        <v>59</v>
      </c>
      <c r="J242" s="26">
        <f t="shared" si="13"/>
        <v>2.7372881355932202</v>
      </c>
      <c r="K242" s="26">
        <f t="shared" si="14"/>
        <v>3.6497175141242937</v>
      </c>
      <c r="L242" s="26">
        <f t="shared" si="15"/>
        <v>4.5621468926553668</v>
      </c>
      <c r="M242" s="241"/>
      <c r="N242" s="241"/>
      <c r="O242" s="241"/>
      <c r="P242" s="241"/>
      <c r="Q242" s="241"/>
      <c r="R242" s="24">
        <v>59</v>
      </c>
      <c r="S242" s="26">
        <f t="shared" si="32"/>
        <v>5.0000000000000003E-10</v>
      </c>
      <c r="T242" s="26">
        <f t="shared" si="33"/>
        <v>5.0000000000000003E-10</v>
      </c>
      <c r="U242" s="26">
        <f t="shared" si="34"/>
        <v>5.0000000000000003E-10</v>
      </c>
      <c r="V242" s="26">
        <f t="shared" si="35"/>
        <v>27.515232487926713</v>
      </c>
    </row>
    <row r="243" spans="2:22" ht="12.75">
      <c r="B243" s="241">
        <f t="shared" si="10"/>
        <v>215.99999999999997</v>
      </c>
      <c r="C243" s="241"/>
      <c r="D243" s="4">
        <v>60</v>
      </c>
      <c r="E243" s="26">
        <f t="shared" si="11"/>
        <v>2.6999999999999997</v>
      </c>
      <c r="F243" s="26">
        <f t="shared" si="24"/>
        <v>3.5999999999999996</v>
      </c>
      <c r="G243" s="26">
        <f t="shared" si="12"/>
        <v>4.5</v>
      </c>
      <c r="H243" s="241"/>
      <c r="I243" s="4">
        <v>60</v>
      </c>
      <c r="J243" s="26">
        <f t="shared" si="13"/>
        <v>2.6999999999999997</v>
      </c>
      <c r="K243" s="26">
        <f t="shared" si="14"/>
        <v>3.5999999999999996</v>
      </c>
      <c r="L243" s="26">
        <f t="shared" si="15"/>
        <v>4.5</v>
      </c>
      <c r="M243" s="241"/>
      <c r="N243" s="241"/>
      <c r="O243" s="241"/>
      <c r="P243" s="241"/>
      <c r="Q243" s="241"/>
      <c r="R243" s="24">
        <v>60</v>
      </c>
      <c r="S243" s="26">
        <f t="shared" si="32"/>
        <v>5.0000000000000003E-10</v>
      </c>
      <c r="T243" s="26">
        <f t="shared" si="33"/>
        <v>5.0000000000000003E-10</v>
      </c>
      <c r="U243" s="26">
        <f t="shared" si="34"/>
        <v>5.0000000000000003E-10</v>
      </c>
      <c r="V243" s="26">
        <f t="shared" si="35"/>
        <v>27.056645279794601</v>
      </c>
    </row>
    <row r="244" spans="2:22" ht="12.75">
      <c r="B244" s="241">
        <f t="shared" si="10"/>
        <v>216.66666666666666</v>
      </c>
      <c r="C244" s="241"/>
      <c r="D244" s="4">
        <v>61</v>
      </c>
      <c r="E244" s="26">
        <f t="shared" si="11"/>
        <v>2.6639344262295079</v>
      </c>
      <c r="F244" s="26">
        <f t="shared" si="24"/>
        <v>3.5519125683060109</v>
      </c>
      <c r="G244" s="26">
        <f t="shared" si="12"/>
        <v>4.4398907103825138</v>
      </c>
      <c r="H244" s="241"/>
      <c r="I244" s="4">
        <v>61</v>
      </c>
      <c r="J244" s="26">
        <f t="shared" si="13"/>
        <v>2.6639344262295079</v>
      </c>
      <c r="K244" s="26">
        <f t="shared" si="14"/>
        <v>3.5519125683060109</v>
      </c>
      <c r="L244" s="26">
        <f t="shared" si="15"/>
        <v>4.4398907103825138</v>
      </c>
      <c r="M244" s="241"/>
      <c r="N244" s="241"/>
      <c r="O244" s="241"/>
      <c r="P244" s="241"/>
      <c r="Q244" s="241"/>
      <c r="R244" s="4">
        <v>61</v>
      </c>
      <c r="S244" s="26">
        <f t="shared" si="32"/>
        <v>5.0000000000000003E-10</v>
      </c>
      <c r="T244" s="26">
        <f t="shared" si="33"/>
        <v>5.0000000000000003E-10</v>
      </c>
      <c r="U244" s="26">
        <f t="shared" si="34"/>
        <v>5.0000000000000003E-10</v>
      </c>
      <c r="V244" s="26">
        <f t="shared" si="35"/>
        <v>26.613093717830754</v>
      </c>
    </row>
    <row r="245" spans="2:22" ht="12.75">
      <c r="B245" s="241">
        <f t="shared" si="10"/>
        <v>217.33333333333331</v>
      </c>
      <c r="C245" s="241"/>
      <c r="D245" s="4">
        <v>62</v>
      </c>
      <c r="E245" s="26">
        <f t="shared" si="11"/>
        <v>2.629032258064516</v>
      </c>
      <c r="F245" s="26">
        <f t="shared" si="24"/>
        <v>3.5053763440860211</v>
      </c>
      <c r="G245" s="26">
        <f t="shared" si="12"/>
        <v>4.3817204301075261</v>
      </c>
      <c r="H245" s="241"/>
      <c r="I245" s="4">
        <v>62</v>
      </c>
      <c r="J245" s="26">
        <f t="shared" si="13"/>
        <v>2.629032258064516</v>
      </c>
      <c r="K245" s="26">
        <f t="shared" si="14"/>
        <v>3.5053763440860211</v>
      </c>
      <c r="L245" s="26">
        <f t="shared" si="15"/>
        <v>4.3817204301075261</v>
      </c>
      <c r="M245" s="241"/>
      <c r="N245" s="241"/>
      <c r="O245" s="241"/>
      <c r="P245" s="241"/>
      <c r="Q245" s="241"/>
      <c r="R245" s="4">
        <v>62</v>
      </c>
      <c r="S245" s="26">
        <f t="shared" si="32"/>
        <v>5.0000000000000003E-10</v>
      </c>
      <c r="T245" s="26">
        <f t="shared" si="33"/>
        <v>5.0000000000000003E-10</v>
      </c>
      <c r="U245" s="26">
        <f t="shared" si="34"/>
        <v>5.0000000000000003E-10</v>
      </c>
      <c r="V245" s="26">
        <f t="shared" si="35"/>
        <v>26.183850270768968</v>
      </c>
    </row>
    <row r="246" spans="2:22" ht="12.75">
      <c r="B246" s="241">
        <f t="shared" si="10"/>
        <v>217.99999999999997</v>
      </c>
      <c r="C246" s="241"/>
      <c r="D246" s="4">
        <v>63</v>
      </c>
      <c r="E246" s="26">
        <f t="shared" si="11"/>
        <v>2.5952380952380949</v>
      </c>
      <c r="F246" s="26">
        <f t="shared" si="24"/>
        <v>3.46031746031746</v>
      </c>
      <c r="G246" s="26">
        <f t="shared" si="12"/>
        <v>4.3253968253968251</v>
      </c>
      <c r="H246" s="241"/>
      <c r="I246" s="4">
        <v>63</v>
      </c>
      <c r="J246" s="26">
        <f t="shared" si="13"/>
        <v>2.5952380952380949</v>
      </c>
      <c r="K246" s="26">
        <f t="shared" si="14"/>
        <v>3.46031746031746</v>
      </c>
      <c r="L246" s="26">
        <f t="shared" si="15"/>
        <v>4.3253968253968251</v>
      </c>
      <c r="M246" s="241"/>
      <c r="N246" s="241"/>
      <c r="O246" s="241"/>
      <c r="P246" s="241"/>
      <c r="Q246" s="241"/>
      <c r="R246" s="4">
        <v>63</v>
      </c>
      <c r="S246" s="26">
        <f t="shared" si="32"/>
        <v>5.0000000000000003E-10</v>
      </c>
      <c r="T246" s="26">
        <f t="shared" si="33"/>
        <v>5.0000000000000003E-10</v>
      </c>
      <c r="U246" s="26">
        <f t="shared" si="34"/>
        <v>5.0000000000000003E-10</v>
      </c>
      <c r="V246" s="26">
        <f t="shared" si="35"/>
        <v>25.768233599804383</v>
      </c>
    </row>
    <row r="247" spans="2:22" ht="12.75">
      <c r="B247" s="241">
        <f t="shared" si="10"/>
        <v>218.66666666666666</v>
      </c>
      <c r="C247" s="241"/>
      <c r="D247" s="4">
        <v>64</v>
      </c>
      <c r="E247" s="26">
        <f t="shared" si="11"/>
        <v>2.5625</v>
      </c>
      <c r="F247" s="26">
        <f t="shared" si="24"/>
        <v>3.4166666666666665</v>
      </c>
      <c r="G247" s="26">
        <f t="shared" si="12"/>
        <v>4.270833333333333</v>
      </c>
      <c r="H247" s="241"/>
      <c r="I247" s="4">
        <v>64</v>
      </c>
      <c r="J247" s="26">
        <f t="shared" si="13"/>
        <v>2.5625</v>
      </c>
      <c r="K247" s="26">
        <f t="shared" si="14"/>
        <v>3.4166666666666665</v>
      </c>
      <c r="L247" s="26">
        <f t="shared" si="15"/>
        <v>4.270833333333333</v>
      </c>
      <c r="M247" s="241"/>
      <c r="N247" s="241"/>
      <c r="O247" s="241"/>
      <c r="P247" s="241"/>
      <c r="Q247" s="241"/>
      <c r="R247" s="4">
        <v>64</v>
      </c>
      <c r="S247" s="26">
        <f t="shared" si="32"/>
        <v>5.0000000000000003E-10</v>
      </c>
      <c r="T247" s="26">
        <f t="shared" si="33"/>
        <v>5.0000000000000003E-10</v>
      </c>
      <c r="U247" s="26">
        <f t="shared" si="34"/>
        <v>5.0000000000000003E-10</v>
      </c>
      <c r="V247" s="26">
        <f t="shared" si="35"/>
        <v>25.365604949807437</v>
      </c>
    </row>
    <row r="248" spans="2:22" ht="12.75">
      <c r="B248" s="241">
        <f t="shared" si="10"/>
        <v>219.33333333333331</v>
      </c>
      <c r="C248" s="241"/>
      <c r="D248" s="4">
        <v>65</v>
      </c>
      <c r="E248" s="26">
        <f t="shared" si="11"/>
        <v>2.5307692307692307</v>
      </c>
      <c r="F248" s="26">
        <f t="shared" ref="F248:F263" si="36">($F$175+(D248-VINMAX)*$E$268/$E$269)/D248</f>
        <v>3.3743589743589739</v>
      </c>
      <c r="G248" s="26">
        <f t="shared" si="12"/>
        <v>4.2179487179487172</v>
      </c>
      <c r="H248" s="241"/>
      <c r="I248" s="4">
        <v>65</v>
      </c>
      <c r="J248" s="26">
        <f t="shared" si="13"/>
        <v>2.5307692307692307</v>
      </c>
      <c r="K248" s="26">
        <f t="shared" si="14"/>
        <v>3.3743589743589739</v>
      </c>
      <c r="L248" s="26">
        <f t="shared" si="15"/>
        <v>4.2179487179487172</v>
      </c>
      <c r="M248" s="241"/>
      <c r="N248" s="241"/>
      <c r="O248" s="241"/>
      <c r="P248" s="241"/>
      <c r="Q248" s="241"/>
      <c r="R248" s="4">
        <v>65</v>
      </c>
      <c r="S248" s="26">
        <f t="shared" si="32"/>
        <v>5.0000000000000003E-10</v>
      </c>
      <c r="T248" s="26">
        <f t="shared" si="33"/>
        <v>5.0000000000000003E-10</v>
      </c>
      <c r="U248" s="26">
        <f t="shared" si="34"/>
        <v>5.0000000000000003E-10</v>
      </c>
      <c r="V248" s="26">
        <f t="shared" si="35"/>
        <v>24.975364873656552</v>
      </c>
    </row>
    <row r="249" spans="2:22" ht="12.75">
      <c r="B249" s="241">
        <f t="shared" ref="B249:B263" si="37">D249*F249</f>
        <v>219.99999999999997</v>
      </c>
      <c r="C249" s="241"/>
      <c r="D249" s="4">
        <v>66</v>
      </c>
      <c r="E249" s="26">
        <f t="shared" si="11"/>
        <v>2.5</v>
      </c>
      <c r="F249" s="26">
        <f t="shared" si="36"/>
        <v>3.333333333333333</v>
      </c>
      <c r="G249" s="26">
        <f t="shared" si="12"/>
        <v>4.1666666666666661</v>
      </c>
      <c r="H249" s="241"/>
      <c r="I249" s="4">
        <v>66</v>
      </c>
      <c r="J249" s="26">
        <f t="shared" si="13"/>
        <v>2.5</v>
      </c>
      <c r="K249" s="26">
        <f t="shared" si="14"/>
        <v>3.333333333333333</v>
      </c>
      <c r="L249" s="26">
        <f t="shared" si="15"/>
        <v>4.1666666666666661</v>
      </c>
      <c r="M249" s="241"/>
      <c r="N249" s="241"/>
      <c r="O249" s="241"/>
      <c r="P249" s="241"/>
      <c r="Q249" s="241"/>
      <c r="R249" s="4">
        <v>66</v>
      </c>
      <c r="S249" s="26">
        <f t="shared" si="32"/>
        <v>5.0000000000000003E-10</v>
      </c>
      <c r="T249" s="26">
        <f t="shared" si="33"/>
        <v>5.0000000000000003E-10</v>
      </c>
      <c r="U249" s="26">
        <f t="shared" si="34"/>
        <v>5.0000000000000003E-10</v>
      </c>
      <c r="V249" s="26">
        <f t="shared" si="35"/>
        <v>24.596950254358728</v>
      </c>
    </row>
    <row r="250" spans="2:22" ht="12.75">
      <c r="B250" s="241">
        <f t="shared" si="37"/>
        <v>220.66666666666666</v>
      </c>
      <c r="C250" s="241"/>
      <c r="D250" s="4">
        <v>67</v>
      </c>
      <c r="E250" s="26">
        <f t="shared" si="11"/>
        <v>2.4701492537313432</v>
      </c>
      <c r="F250" s="26">
        <f t="shared" si="36"/>
        <v>3.2935323383084576</v>
      </c>
      <c r="G250" s="26">
        <f t="shared" si="12"/>
        <v>4.1169154228855724</v>
      </c>
      <c r="H250" s="241"/>
      <c r="I250" s="4">
        <v>67</v>
      </c>
      <c r="J250" s="26">
        <f t="shared" si="13"/>
        <v>2.4701492537313432</v>
      </c>
      <c r="K250" s="26">
        <f t="shared" si="14"/>
        <v>3.2935323383084576</v>
      </c>
      <c r="L250" s="26">
        <f t="shared" si="15"/>
        <v>4.1169154228855724</v>
      </c>
      <c r="M250" s="241"/>
      <c r="N250" s="241"/>
      <c r="O250" s="241"/>
      <c r="P250" s="241"/>
      <c r="Q250" s="241"/>
      <c r="R250" s="4">
        <v>67</v>
      </c>
      <c r="S250" s="26">
        <f t="shared" si="32"/>
        <v>5.0000000000000003E-10</v>
      </c>
      <c r="T250" s="26">
        <f t="shared" si="33"/>
        <v>5.0000000000000003E-10</v>
      </c>
      <c r="U250" s="26">
        <f t="shared" si="34"/>
        <v>5.0000000000000003E-10</v>
      </c>
      <c r="V250" s="26">
        <f t="shared" si="35"/>
        <v>24.229831593845912</v>
      </c>
    </row>
    <row r="251" spans="2:22" ht="12.75">
      <c r="B251" s="241">
        <f t="shared" si="37"/>
        <v>221.33333333333331</v>
      </c>
      <c r="C251" s="241"/>
      <c r="D251" s="4">
        <v>68</v>
      </c>
      <c r="E251" s="26">
        <f t="shared" si="11"/>
        <v>2.4411764705882351</v>
      </c>
      <c r="F251" s="26">
        <f t="shared" si="36"/>
        <v>3.2549019607843133</v>
      </c>
      <c r="G251" s="26">
        <f t="shared" si="12"/>
        <v>4.0686274509803919</v>
      </c>
      <c r="H251" s="241"/>
      <c r="I251" s="4">
        <v>68</v>
      </c>
      <c r="J251" s="26">
        <f t="shared" si="13"/>
        <v>2.4411764705882351</v>
      </c>
      <c r="K251" s="26">
        <f t="shared" si="14"/>
        <v>3.2549019607843133</v>
      </c>
      <c r="L251" s="26">
        <f t="shared" si="15"/>
        <v>4.0686274509803919</v>
      </c>
      <c r="M251" s="241"/>
      <c r="N251" s="241"/>
      <c r="O251" s="241"/>
      <c r="P251" s="241"/>
      <c r="Q251" s="241"/>
      <c r="R251" s="4">
        <v>68</v>
      </c>
      <c r="S251" s="26">
        <f t="shared" si="32"/>
        <v>5.0000000000000003E-10</v>
      </c>
      <c r="T251" s="26">
        <f t="shared" si="33"/>
        <v>5.0000000000000003E-10</v>
      </c>
      <c r="U251" s="26">
        <f t="shared" si="34"/>
        <v>5.0000000000000003E-10</v>
      </c>
      <c r="V251" s="26">
        <f t="shared" si="35"/>
        <v>23.873510540995234</v>
      </c>
    </row>
    <row r="252" spans="2:22" ht="12.75">
      <c r="B252" s="241">
        <f t="shared" si="37"/>
        <v>222</v>
      </c>
      <c r="C252" s="241"/>
      <c r="D252" s="4">
        <v>69</v>
      </c>
      <c r="E252" s="26">
        <f t="shared" si="11"/>
        <v>2.4130434782608696</v>
      </c>
      <c r="F252" s="26">
        <f t="shared" si="36"/>
        <v>3.2173913043478262</v>
      </c>
      <c r="G252" s="26">
        <f t="shared" si="12"/>
        <v>4.0217391304347831</v>
      </c>
      <c r="H252" s="241"/>
      <c r="I252" s="4">
        <v>69</v>
      </c>
      <c r="J252" s="26">
        <f t="shared" si="13"/>
        <v>2.4130434782608696</v>
      </c>
      <c r="K252" s="26">
        <f t="shared" si="14"/>
        <v>3.2173913043478262</v>
      </c>
      <c r="L252" s="26">
        <f t="shared" si="15"/>
        <v>4.0217391304347831</v>
      </c>
      <c r="M252" s="241"/>
      <c r="N252" s="241"/>
      <c r="O252" s="241"/>
      <c r="P252" s="241"/>
      <c r="Q252" s="241"/>
      <c r="R252" s="4">
        <v>69</v>
      </c>
      <c r="S252" s="26">
        <f t="shared" si="32"/>
        <v>5.0000000000000003E-10</v>
      </c>
      <c r="T252" s="26">
        <f t="shared" si="33"/>
        <v>5.0000000000000003E-10</v>
      </c>
      <c r="U252" s="26">
        <f t="shared" si="34"/>
        <v>5.0000000000000003E-10</v>
      </c>
      <c r="V252" s="26">
        <f t="shared" si="35"/>
        <v>23.527517634603999</v>
      </c>
    </row>
    <row r="253" spans="2:22" ht="12.75">
      <c r="B253" s="241">
        <f t="shared" si="37"/>
        <v>222.66666666666663</v>
      </c>
      <c r="C253" s="241"/>
      <c r="D253" s="4">
        <v>70</v>
      </c>
      <c r="E253" s="26">
        <f t="shared" si="11"/>
        <v>2.3857142857142852</v>
      </c>
      <c r="F253" s="26">
        <f t="shared" si="36"/>
        <v>3.1809523809523803</v>
      </c>
      <c r="G253" s="26">
        <f t="shared" si="12"/>
        <v>3.9761904761904754</v>
      </c>
      <c r="H253" s="241"/>
      <c r="I253" s="4">
        <v>70</v>
      </c>
      <c r="J253" s="26">
        <f t="shared" si="13"/>
        <v>2.3857142857142852</v>
      </c>
      <c r="K253" s="26">
        <f t="shared" si="14"/>
        <v>3.1809523809523803</v>
      </c>
      <c r="L253" s="26">
        <f t="shared" si="15"/>
        <v>3.9761904761904754</v>
      </c>
      <c r="M253" s="241"/>
      <c r="N253" s="241"/>
      <c r="O253" s="241"/>
      <c r="P253" s="241"/>
      <c r="Q253" s="241"/>
      <c r="R253" s="4">
        <v>70</v>
      </c>
      <c r="S253" s="26">
        <f t="shared" si="32"/>
        <v>5.0000000000000003E-10</v>
      </c>
      <c r="T253" s="26">
        <f t="shared" si="33"/>
        <v>5.0000000000000003E-10</v>
      </c>
      <c r="U253" s="26">
        <f t="shared" si="34"/>
        <v>5.0000000000000003E-10</v>
      </c>
      <c r="V253" s="26">
        <f t="shared" si="35"/>
        <v>23.191410239823941</v>
      </c>
    </row>
    <row r="254" spans="2:22" ht="12.75">
      <c r="B254" s="241">
        <f t="shared" si="37"/>
        <v>223.33333333333331</v>
      </c>
      <c r="C254" s="241"/>
      <c r="D254" s="4">
        <v>71</v>
      </c>
      <c r="E254" s="26">
        <f t="shared" si="11"/>
        <v>2.3591549295774645</v>
      </c>
      <c r="F254" s="26">
        <f t="shared" si="36"/>
        <v>3.145539906103286</v>
      </c>
      <c r="G254" s="26">
        <f t="shared" si="12"/>
        <v>3.9319248826291076</v>
      </c>
      <c r="H254" s="241"/>
      <c r="I254" s="4">
        <v>71</v>
      </c>
      <c r="J254" s="26">
        <f t="shared" si="13"/>
        <v>2.3591549295774645</v>
      </c>
      <c r="K254" s="26">
        <f t="shared" si="14"/>
        <v>3.145539906103286</v>
      </c>
      <c r="L254" s="26">
        <f t="shared" si="15"/>
        <v>3.9319248826291076</v>
      </c>
      <c r="M254" s="241"/>
      <c r="N254" s="241"/>
      <c r="O254" s="241"/>
      <c r="P254" s="241"/>
      <c r="Q254" s="241"/>
      <c r="R254" s="4">
        <v>71</v>
      </c>
      <c r="S254" s="26">
        <f t="shared" si="32"/>
        <v>5.0000000000000003E-10</v>
      </c>
      <c r="T254" s="26">
        <f t="shared" si="33"/>
        <v>5.0000000000000003E-10</v>
      </c>
      <c r="U254" s="26">
        <f t="shared" si="34"/>
        <v>5.0000000000000003E-10</v>
      </c>
      <c r="V254" s="26">
        <f t="shared" si="35"/>
        <v>22.864770658981353</v>
      </c>
    </row>
    <row r="255" spans="2:22" ht="12.75">
      <c r="B255" s="241">
        <f t="shared" si="37"/>
        <v>223.99999999999997</v>
      </c>
      <c r="C255" s="241"/>
      <c r="D255" s="4">
        <v>72</v>
      </c>
      <c r="E255" s="26">
        <f t="shared" si="11"/>
        <v>2.333333333333333</v>
      </c>
      <c r="F255" s="26">
        <f t="shared" si="36"/>
        <v>3.1111111111111107</v>
      </c>
      <c r="G255" s="26">
        <f t="shared" si="12"/>
        <v>3.8888888888888884</v>
      </c>
      <c r="H255" s="241"/>
      <c r="I255" s="4">
        <v>72</v>
      </c>
      <c r="J255" s="26">
        <f t="shared" si="13"/>
        <v>2.333333333333333</v>
      </c>
      <c r="K255" s="26">
        <f t="shared" si="14"/>
        <v>3.1111111111111107</v>
      </c>
      <c r="L255" s="26">
        <f t="shared" si="15"/>
        <v>3.8888888888888884</v>
      </c>
      <c r="M255" s="241"/>
      <c r="N255" s="241"/>
      <c r="O255" s="241"/>
      <c r="P255" s="241"/>
      <c r="Q255" s="241"/>
      <c r="R255" s="4">
        <v>72</v>
      </c>
      <c r="S255" s="26">
        <f t="shared" si="32"/>
        <v>5.0000000000000003E-10</v>
      </c>
      <c r="T255" s="26">
        <f t="shared" si="33"/>
        <v>5.0000000000000003E-10</v>
      </c>
      <c r="U255" s="26">
        <f t="shared" si="34"/>
        <v>5.0000000000000003E-10</v>
      </c>
      <c r="V255" s="26">
        <f t="shared" si="35"/>
        <v>22.547204399828832</v>
      </c>
    </row>
    <row r="256" spans="2:22" ht="12.75">
      <c r="B256" s="241">
        <f t="shared" si="37"/>
        <v>224.66666666666666</v>
      </c>
      <c r="C256" s="241"/>
      <c r="D256" s="4">
        <v>73</v>
      </c>
      <c r="E256" s="26">
        <f t="shared" si="11"/>
        <v>2.3082191780821915</v>
      </c>
      <c r="F256" s="26">
        <f t="shared" si="36"/>
        <v>3.0776255707762554</v>
      </c>
      <c r="G256" s="26">
        <f t="shared" si="12"/>
        <v>3.8470319634703194</v>
      </c>
      <c r="H256" s="241"/>
      <c r="I256" s="4">
        <v>73</v>
      </c>
      <c r="J256" s="26">
        <f t="shared" si="13"/>
        <v>2.3082191780821915</v>
      </c>
      <c r="K256" s="26">
        <f t="shared" si="14"/>
        <v>3.0776255707762554</v>
      </c>
      <c r="L256" s="26">
        <f t="shared" si="15"/>
        <v>3.8470319634703194</v>
      </c>
      <c r="M256" s="241"/>
      <c r="N256" s="241"/>
      <c r="O256" s="241"/>
      <c r="P256" s="241"/>
      <c r="Q256" s="241"/>
      <c r="R256" s="4">
        <v>73</v>
      </c>
      <c r="S256" s="26">
        <f t="shared" si="32"/>
        <v>5.0000000000000003E-10</v>
      </c>
      <c r="T256" s="26">
        <f t="shared" si="33"/>
        <v>5.0000000000000003E-10</v>
      </c>
      <c r="U256" s="26">
        <f t="shared" si="34"/>
        <v>5.0000000000000003E-10</v>
      </c>
      <c r="V256" s="26">
        <f t="shared" si="35"/>
        <v>22.238338586132549</v>
      </c>
    </row>
    <row r="257" spans="2:22" ht="12.75">
      <c r="B257" s="241">
        <f t="shared" si="37"/>
        <v>225.33333333333329</v>
      </c>
      <c r="C257" s="241"/>
      <c r="D257" s="4">
        <v>74</v>
      </c>
      <c r="E257" s="26">
        <f t="shared" si="11"/>
        <v>2.2837837837837833</v>
      </c>
      <c r="F257" s="26">
        <f t="shared" si="36"/>
        <v>3.0450450450450446</v>
      </c>
      <c r="G257" s="26">
        <f t="shared" si="12"/>
        <v>3.8063063063063058</v>
      </c>
      <c r="H257" s="241"/>
      <c r="I257" s="4">
        <v>74</v>
      </c>
      <c r="J257" s="26">
        <f t="shared" si="13"/>
        <v>2.2837837837837833</v>
      </c>
      <c r="K257" s="26">
        <f t="shared" si="14"/>
        <v>3.0450450450450446</v>
      </c>
      <c r="L257" s="26">
        <f t="shared" si="15"/>
        <v>3.8063063063063058</v>
      </c>
      <c r="M257" s="241"/>
      <c r="N257" s="241"/>
      <c r="O257" s="241"/>
      <c r="P257" s="241"/>
      <c r="Q257" s="241"/>
      <c r="R257" s="4">
        <v>74</v>
      </c>
      <c r="S257" s="26">
        <f t="shared" si="32"/>
        <v>5.0000000000000003E-10</v>
      </c>
      <c r="T257" s="26">
        <f t="shared" si="33"/>
        <v>5.0000000000000003E-10</v>
      </c>
      <c r="U257" s="26">
        <f t="shared" si="34"/>
        <v>5.0000000000000003E-10</v>
      </c>
      <c r="V257" s="26">
        <f t="shared" si="35"/>
        <v>21.937820497130758</v>
      </c>
    </row>
    <row r="258" spans="2:22" ht="12.75">
      <c r="B258" s="241">
        <f t="shared" si="37"/>
        <v>225.99999999999994</v>
      </c>
      <c r="C258" s="241"/>
      <c r="D258" s="4">
        <v>75</v>
      </c>
      <c r="E258" s="26">
        <f t="shared" si="11"/>
        <v>2.2599999999999998</v>
      </c>
      <c r="F258" s="26">
        <f t="shared" si="36"/>
        <v>3.0133333333333328</v>
      </c>
      <c r="G258" s="26">
        <f t="shared" si="12"/>
        <v>3.7666666666666657</v>
      </c>
      <c r="H258" s="241"/>
      <c r="I258" s="4">
        <v>75</v>
      </c>
      <c r="J258" s="26">
        <f t="shared" si="13"/>
        <v>2.2599999999999998</v>
      </c>
      <c r="K258" s="26">
        <f t="shared" si="14"/>
        <v>3.0133333333333328</v>
      </c>
      <c r="L258" s="26">
        <f t="shared" si="15"/>
        <v>3.7666666666666657</v>
      </c>
      <c r="M258" s="241"/>
      <c r="N258" s="241"/>
      <c r="O258" s="241"/>
      <c r="P258" s="241"/>
      <c r="Q258" s="241"/>
      <c r="R258" s="4">
        <v>75</v>
      </c>
      <c r="S258" s="26">
        <f t="shared" si="32"/>
        <v>5.0000000000000003E-10</v>
      </c>
      <c r="T258" s="26">
        <f t="shared" si="33"/>
        <v>5.0000000000000003E-10</v>
      </c>
      <c r="U258" s="26">
        <f t="shared" si="34"/>
        <v>5.0000000000000003E-10</v>
      </c>
      <c r="V258" s="26">
        <f t="shared" si="35"/>
        <v>21.645316223835678</v>
      </c>
    </row>
    <row r="259" spans="2:22" ht="12.75">
      <c r="B259" s="241">
        <f t="shared" si="37"/>
        <v>226.66666666666666</v>
      </c>
      <c r="C259" s="241"/>
      <c r="D259" s="4">
        <v>76</v>
      </c>
      <c r="E259" s="26">
        <f t="shared" si="11"/>
        <v>2.236842105263158</v>
      </c>
      <c r="F259" s="26">
        <f t="shared" si="36"/>
        <v>2.9824561403508771</v>
      </c>
      <c r="G259" s="26">
        <f t="shared" si="12"/>
        <v>3.7280701754385963</v>
      </c>
      <c r="H259" s="241"/>
      <c r="I259" s="4">
        <v>76</v>
      </c>
      <c r="J259" s="26">
        <f t="shared" si="13"/>
        <v>2.236842105263158</v>
      </c>
      <c r="K259" s="26">
        <f t="shared" si="14"/>
        <v>2.9824561403508771</v>
      </c>
      <c r="L259" s="26">
        <f t="shared" si="15"/>
        <v>3.7280701754385963</v>
      </c>
      <c r="M259" s="241"/>
      <c r="N259" s="241"/>
      <c r="O259" s="241"/>
      <c r="P259" s="241"/>
      <c r="Q259" s="241"/>
      <c r="R259" s="4">
        <v>76</v>
      </c>
      <c r="S259" s="26">
        <f t="shared" si="32"/>
        <v>5.0000000000000003E-10</v>
      </c>
      <c r="T259" s="26">
        <f t="shared" si="33"/>
        <v>5.0000000000000003E-10</v>
      </c>
      <c r="U259" s="26">
        <f t="shared" si="34"/>
        <v>5.0000000000000003E-10</v>
      </c>
      <c r="V259" s="26">
        <f t="shared" si="35"/>
        <v>21.360509431416791</v>
      </c>
    </row>
    <row r="260" spans="2:22" ht="12.75">
      <c r="B260" s="241">
        <f t="shared" si="37"/>
        <v>227.33333333333331</v>
      </c>
      <c r="C260" s="241"/>
      <c r="D260" s="4">
        <v>77</v>
      </c>
      <c r="E260" s="26">
        <f t="shared" si="11"/>
        <v>2.214285714285714</v>
      </c>
      <c r="F260" s="26">
        <f t="shared" si="36"/>
        <v>2.9523809523809521</v>
      </c>
      <c r="G260" s="26">
        <f t="shared" si="12"/>
        <v>3.6904761904761902</v>
      </c>
      <c r="H260" s="241"/>
      <c r="I260" s="4">
        <v>77</v>
      </c>
      <c r="J260" s="26">
        <f t="shared" si="13"/>
        <v>2.214285714285714</v>
      </c>
      <c r="K260" s="26">
        <f t="shared" si="14"/>
        <v>2.9523809523809521</v>
      </c>
      <c r="L260" s="26">
        <f t="shared" si="15"/>
        <v>3.6904761904761902</v>
      </c>
      <c r="M260" s="241"/>
      <c r="N260" s="241"/>
      <c r="O260" s="241"/>
      <c r="P260" s="241"/>
      <c r="Q260" s="241"/>
      <c r="R260" s="4">
        <v>77</v>
      </c>
      <c r="S260" s="26">
        <f t="shared" si="32"/>
        <v>5.0000000000000003E-10</v>
      </c>
      <c r="T260" s="26">
        <f t="shared" si="33"/>
        <v>5.0000000000000003E-10</v>
      </c>
      <c r="U260" s="26">
        <f t="shared" si="34"/>
        <v>5.0000000000000003E-10</v>
      </c>
      <c r="V260" s="26">
        <f t="shared" si="35"/>
        <v>21.083100218021766</v>
      </c>
    </row>
    <row r="261" spans="2:22" ht="12.75">
      <c r="B261" s="241">
        <f t="shared" si="37"/>
        <v>228</v>
      </c>
      <c r="C261" s="241"/>
      <c r="D261" s="4">
        <v>78</v>
      </c>
      <c r="E261" s="26">
        <f t="shared" si="11"/>
        <v>2.1923076923076921</v>
      </c>
      <c r="F261" s="26">
        <f t="shared" si="36"/>
        <v>2.9230769230769229</v>
      </c>
      <c r="G261" s="26">
        <f t="shared" si="12"/>
        <v>3.6538461538461537</v>
      </c>
      <c r="H261" s="241"/>
      <c r="I261" s="4">
        <v>78</v>
      </c>
      <c r="J261" s="26">
        <f t="shared" si="13"/>
        <v>2.1923076923076921</v>
      </c>
      <c r="K261" s="26">
        <f t="shared" si="14"/>
        <v>2.9230769230769229</v>
      </c>
      <c r="L261" s="26">
        <f t="shared" si="15"/>
        <v>3.6538461538461537</v>
      </c>
      <c r="M261" s="241"/>
      <c r="N261" s="241"/>
      <c r="O261" s="241"/>
      <c r="P261" s="241"/>
      <c r="Q261" s="241"/>
      <c r="R261" s="24">
        <v>78</v>
      </c>
      <c r="S261" s="26">
        <f t="shared" si="32"/>
        <v>5.0000000000000003E-10</v>
      </c>
      <c r="T261" s="26">
        <f t="shared" si="33"/>
        <v>5.0000000000000003E-10</v>
      </c>
      <c r="U261" s="26">
        <f t="shared" si="34"/>
        <v>5.0000000000000003E-10</v>
      </c>
      <c r="V261" s="26">
        <f t="shared" si="35"/>
        <v>20.812804061380461</v>
      </c>
    </row>
    <row r="262" spans="2:22" ht="12.75">
      <c r="B262" s="241">
        <f t="shared" si="37"/>
        <v>228.66666666666666</v>
      </c>
      <c r="C262" s="241"/>
      <c r="D262" s="4">
        <v>79</v>
      </c>
      <c r="E262" s="26">
        <f t="shared" si="11"/>
        <v>2.1708860759493671</v>
      </c>
      <c r="F262" s="26">
        <f t="shared" si="36"/>
        <v>2.8945147679324892</v>
      </c>
      <c r="G262" s="26">
        <f t="shared" si="12"/>
        <v>3.6181434599156113</v>
      </c>
      <c r="H262" s="241"/>
      <c r="I262" s="4">
        <v>79</v>
      </c>
      <c r="J262" s="26">
        <f t="shared" si="13"/>
        <v>2.1708860759493671</v>
      </c>
      <c r="K262" s="26">
        <f t="shared" si="14"/>
        <v>2.8945147679324892</v>
      </c>
      <c r="L262" s="26">
        <f t="shared" si="15"/>
        <v>3.6181434599156113</v>
      </c>
      <c r="M262" s="241"/>
      <c r="N262" s="241"/>
      <c r="O262" s="241"/>
      <c r="P262" s="241"/>
      <c r="Q262" s="241"/>
      <c r="R262" s="24">
        <v>79</v>
      </c>
      <c r="S262" s="26">
        <f t="shared" si="32"/>
        <v>5.0000000000000003E-10</v>
      </c>
      <c r="T262" s="26">
        <f t="shared" si="33"/>
        <v>5.0000000000000003E-10</v>
      </c>
      <c r="U262" s="26">
        <f t="shared" si="34"/>
        <v>5.0000000000000003E-10</v>
      </c>
      <c r="V262" s="26">
        <f t="shared" si="35"/>
        <v>20.54935084541362</v>
      </c>
    </row>
    <row r="263" spans="2:22" ht="12.75">
      <c r="B263" s="241">
        <f t="shared" si="37"/>
        <v>229.33333333333331</v>
      </c>
      <c r="C263" s="241"/>
      <c r="D263" s="4">
        <v>80</v>
      </c>
      <c r="E263" s="26">
        <f t="shared" si="11"/>
        <v>2.1499999999999995</v>
      </c>
      <c r="F263" s="26">
        <f t="shared" si="36"/>
        <v>2.8666666666666663</v>
      </c>
      <c r="G263" s="26">
        <f t="shared" si="12"/>
        <v>3.583333333333333</v>
      </c>
      <c r="H263" s="241"/>
      <c r="I263" s="4">
        <v>80</v>
      </c>
      <c r="J263" s="26">
        <f t="shared" si="13"/>
        <v>2.1499999999999995</v>
      </c>
      <c r="K263" s="26">
        <f t="shared" si="14"/>
        <v>2.8666666666666663</v>
      </c>
      <c r="L263" s="26">
        <f t="shared" si="15"/>
        <v>3.583333333333333</v>
      </c>
      <c r="M263" s="241"/>
      <c r="N263" s="241"/>
      <c r="O263" s="241"/>
      <c r="P263" s="241"/>
      <c r="Q263" s="241"/>
      <c r="R263" s="24">
        <v>80</v>
      </c>
      <c r="S263" s="26">
        <f t="shared" si="32"/>
        <v>5.0000000000000003E-10</v>
      </c>
      <c r="T263" s="26">
        <f t="shared" si="33"/>
        <v>5.0000000000000003E-10</v>
      </c>
      <c r="U263" s="26">
        <f t="shared" si="34"/>
        <v>5.0000000000000003E-10</v>
      </c>
      <c r="V263" s="26">
        <f t="shared" si="35"/>
        <v>20.292483959845949</v>
      </c>
    </row>
    <row r="264" spans="2:22" ht="12.75">
      <c r="B264" s="241"/>
      <c r="C264" s="241"/>
      <c r="D264" s="198"/>
      <c r="E264" s="306"/>
      <c r="F264" s="306"/>
      <c r="G264" s="306"/>
      <c r="H264" s="241"/>
      <c r="I264" s="198"/>
      <c r="J264" s="306"/>
      <c r="K264" s="306"/>
      <c r="L264" s="306"/>
      <c r="M264" s="241"/>
      <c r="N264" s="241"/>
      <c r="O264" s="241"/>
      <c r="P264" s="241"/>
      <c r="Q264" s="241"/>
      <c r="R264" s="241"/>
      <c r="S264" s="241"/>
      <c r="T264" s="241"/>
      <c r="U264" s="241"/>
      <c r="V264" s="241"/>
    </row>
    <row r="266" spans="2:22" ht="12.75">
      <c r="B266" s="241"/>
      <c r="C266" s="241"/>
      <c r="D266" s="242" t="s">
        <v>397</v>
      </c>
      <c r="E266" s="241"/>
      <c r="F266" s="241"/>
      <c r="G266" s="241"/>
      <c r="H266" s="241"/>
      <c r="I266" s="241"/>
      <c r="J266" s="241"/>
      <c r="K266" s="241"/>
      <c r="L266" s="241"/>
      <c r="M266" s="241"/>
      <c r="N266" s="241"/>
      <c r="O266" s="241"/>
      <c r="P266" s="241"/>
      <c r="Q266" s="241"/>
      <c r="R266" s="241"/>
      <c r="S266" s="241"/>
      <c r="T266" s="241"/>
      <c r="U266" s="241"/>
      <c r="V266" s="241"/>
    </row>
    <row r="268" spans="2:22" ht="12.75">
      <c r="B268" s="241"/>
      <c r="C268" s="241"/>
      <c r="D268" s="242" t="s">
        <v>398</v>
      </c>
      <c r="E268" s="241">
        <f>'Device Parameters'!E12</f>
        <v>1E-3</v>
      </c>
      <c r="F268" s="241"/>
      <c r="G268" s="241"/>
      <c r="H268" s="241"/>
      <c r="I268" s="241"/>
      <c r="J268" s="241"/>
      <c r="K268" s="241"/>
      <c r="L268" s="241"/>
      <c r="M268" s="241"/>
      <c r="N268" s="241"/>
      <c r="O268" s="241"/>
      <c r="P268" s="241"/>
      <c r="Q268" s="241"/>
      <c r="R268" s="241"/>
      <c r="S268" s="241"/>
      <c r="T268" s="241"/>
      <c r="U268" s="241"/>
      <c r="V268" s="241"/>
    </row>
    <row r="269" spans="2:22" ht="12.75">
      <c r="B269" s="241"/>
      <c r="C269" s="241"/>
      <c r="D269" s="242" t="s">
        <v>399</v>
      </c>
      <c r="E269" s="241">
        <f>RsEFF*0.001</f>
        <v>1.5E-3</v>
      </c>
      <c r="F269" s="241"/>
      <c r="G269" s="241"/>
      <c r="H269" s="241"/>
      <c r="I269" s="241"/>
      <c r="J269" s="241"/>
      <c r="K269" s="241"/>
      <c r="L269" s="241"/>
      <c r="M269" s="241"/>
      <c r="N269" s="241"/>
      <c r="O269" s="241"/>
      <c r="P269" s="241"/>
      <c r="Q269" s="241"/>
      <c r="R269" s="241"/>
      <c r="S269" s="241"/>
      <c r="T269" s="241"/>
      <c r="U269" s="241"/>
      <c r="V269" s="241"/>
    </row>
    <row r="270" spans="2:22" ht="12.75">
      <c r="B270" s="241"/>
      <c r="C270" s="241"/>
      <c r="D270" s="242" t="s">
        <v>400</v>
      </c>
      <c r="E270" s="241">
        <f>VINMAX</f>
        <v>17</v>
      </c>
      <c r="F270" s="241"/>
      <c r="G270" s="241"/>
      <c r="H270" s="241"/>
      <c r="I270" s="241"/>
      <c r="J270" s="241"/>
      <c r="K270" s="241"/>
      <c r="L270" s="241"/>
      <c r="M270" s="241"/>
      <c r="N270" s="241"/>
      <c r="O270" s="241"/>
      <c r="P270" s="241"/>
      <c r="Q270" s="241"/>
      <c r="R270" s="241"/>
      <c r="S270" s="241"/>
      <c r="T270" s="241"/>
      <c r="U270" s="241"/>
      <c r="V270" s="241"/>
    </row>
    <row r="271" spans="2:22" ht="12.75">
      <c r="B271" s="241"/>
      <c r="C271" s="241"/>
      <c r="D271" s="242" t="s">
        <v>401</v>
      </c>
      <c r="E271" s="302"/>
      <c r="F271" s="241">
        <v>0.25</v>
      </c>
      <c r="G271" s="241"/>
      <c r="H271" s="241"/>
      <c r="I271" s="241"/>
      <c r="J271" s="241"/>
      <c r="K271" s="241"/>
      <c r="L271" s="241"/>
      <c r="M271" s="241"/>
      <c r="N271" s="241"/>
      <c r="O271" s="241"/>
      <c r="P271" s="241"/>
      <c r="Q271" s="241"/>
      <c r="R271" s="241"/>
      <c r="S271" s="241"/>
      <c r="T271" s="241"/>
      <c r="U271" s="241"/>
      <c r="V271" s="241"/>
    </row>
    <row r="273" spans="4:4" ht="12.75">
      <c r="D273" s="149" t="s">
        <v>402</v>
      </c>
    </row>
  </sheetData>
  <mergeCells count="3">
    <mergeCell ref="D43:G43"/>
    <mergeCell ref="D51:G51"/>
    <mergeCell ref="D65:H6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N7" sqref="N7"/>
    </sheetView>
  </sheetViews>
  <sheetFormatPr defaultColWidth="9.28515625" defaultRowHeight="13.15"/>
  <cols>
    <col min="1" max="1" width="11" style="66" customWidth="1"/>
    <col min="2" max="3" width="9.28515625" style="66"/>
    <col min="4" max="5" width="15" style="66" customWidth="1"/>
    <col min="6" max="6" width="15.42578125" style="66" customWidth="1"/>
    <col min="7" max="7" width="14.7109375" style="66" customWidth="1"/>
    <col min="8" max="8" width="10.7109375" style="66" customWidth="1"/>
    <col min="9" max="9" width="12.42578125" style="66" bestFit="1" customWidth="1"/>
    <col min="10" max="10" width="14.7109375" style="66" customWidth="1"/>
    <col min="11" max="11" width="12.7109375" style="66" customWidth="1"/>
    <col min="12" max="12" width="14.28515625" style="66" customWidth="1"/>
    <col min="13" max="13" width="20.7109375" style="66" customWidth="1"/>
    <col min="14" max="14" width="12.7109375" style="66" customWidth="1"/>
    <col min="15" max="15" width="10.28515625" style="66" bestFit="1" customWidth="1"/>
    <col min="16" max="16" width="18.7109375" style="66" customWidth="1"/>
    <col min="17" max="17" width="10.7109375" style="66" customWidth="1"/>
    <col min="18" max="16384" width="9.28515625" style="66"/>
  </cols>
  <sheetData>
    <row r="1" spans="1:25" ht="12.75">
      <c r="B1" s="66" t="s">
        <v>388</v>
      </c>
      <c r="C1" s="66" t="s">
        <v>403</v>
      </c>
      <c r="D1" s="66" t="s">
        <v>404</v>
      </c>
      <c r="F1" s="162" t="s">
        <v>405</v>
      </c>
      <c r="G1" s="162" t="s">
        <v>406</v>
      </c>
      <c r="H1" s="162" t="s">
        <v>407</v>
      </c>
      <c r="I1" s="162" t="s">
        <v>408</v>
      </c>
      <c r="J1" s="162" t="s">
        <v>409</v>
      </c>
      <c r="K1" s="162"/>
      <c r="L1" s="162"/>
      <c r="M1" s="162" t="s">
        <v>410</v>
      </c>
      <c r="N1" s="162"/>
      <c r="O1" s="162" t="s">
        <v>411</v>
      </c>
      <c r="Q1" s="66" t="s">
        <v>412</v>
      </c>
      <c r="R1" s="66" t="s">
        <v>413</v>
      </c>
    </row>
    <row r="2" spans="1:25" ht="12.75">
      <c r="B2" s="153">
        <f>'Design Calculator'!F69</f>
        <v>187.33333333333331</v>
      </c>
      <c r="C2" s="66">
        <f>'Design Calculator'!F48</f>
        <v>17.333333333333332</v>
      </c>
      <c r="D2" s="66" t="str">
        <f>IF( 'Design Calculator'!F71 = "Constant Current", "CC", "R")</f>
        <v>R</v>
      </c>
      <c r="F2" s="66" t="str">
        <f>'Design Calculator'!F73</f>
        <v>Yes</v>
      </c>
      <c r="G2" s="66">
        <f>'Design Calculator'!F72</f>
        <v>10</v>
      </c>
      <c r="H2" s="66">
        <f>'Design Calculator'!F70</f>
        <v>12</v>
      </c>
      <c r="I2" s="66">
        <f>RsEFF</f>
        <v>1.5</v>
      </c>
      <c r="J2" s="66">
        <f>'Device Parameters'!E12</f>
        <v>1E-3</v>
      </c>
      <c r="M2" s="153">
        <f>J114*1000</f>
        <v>39.949999999999996</v>
      </c>
      <c r="N2" s="66" t="s">
        <v>108</v>
      </c>
      <c r="O2" s="157">
        <f>MIN(L10:L111)</f>
        <v>0.72047357282152003</v>
      </c>
      <c r="Q2" s="66">
        <f>'Device Parameters'!E30/'Device Parameters'!D30</f>
        <v>2</v>
      </c>
      <c r="R2" s="66">
        <f>'Device Parameters'!C30/'Device Parameters'!D30</f>
        <v>0.375</v>
      </c>
    </row>
    <row r="3" spans="1:25" ht="12.75">
      <c r="B3" s="153"/>
      <c r="M3" s="153"/>
      <c r="O3" s="157"/>
    </row>
    <row r="4" spans="1:25" ht="12.75">
      <c r="B4" s="153"/>
      <c r="D4" s="66" t="s">
        <v>414</v>
      </c>
      <c r="M4" s="153" t="s">
        <v>415</v>
      </c>
      <c r="N4" s="66">
        <f>MIN(M10:M114)</f>
        <v>0.55098039215686268</v>
      </c>
      <c r="O4" s="157" t="s">
        <v>118</v>
      </c>
      <c r="P4" s="66" t="s">
        <v>416</v>
      </c>
      <c r="Q4" s="66">
        <f>MAX(O10:O114)</f>
        <v>72.340425531914903</v>
      </c>
      <c r="R4" s="66" t="s">
        <v>59</v>
      </c>
    </row>
    <row r="5" spans="1:25" ht="12.75">
      <c r="B5" s="153"/>
      <c r="M5" s="66" t="s">
        <v>417</v>
      </c>
      <c r="N5" s="66">
        <f>SUM(N10:N114)</f>
        <v>1.4710376741321614</v>
      </c>
      <c r="O5" s="157" t="s">
        <v>318</v>
      </c>
      <c r="P5" s="66" t="s">
        <v>418</v>
      </c>
      <c r="Q5" s="66">
        <f>MAX(P10:P114)</f>
        <v>144.68085106382981</v>
      </c>
      <c r="R5" s="66" t="s">
        <v>59</v>
      </c>
    </row>
    <row r="6" spans="1:25" ht="12.75">
      <c r="P6" s="66" t="s">
        <v>419</v>
      </c>
      <c r="Q6" s="66">
        <f>MAX(Q10:Q114)</f>
        <v>27.12765957446809</v>
      </c>
      <c r="R6" s="66" t="s">
        <v>59</v>
      </c>
    </row>
    <row r="7" spans="1:25" ht="12.75">
      <c r="A7" s="154" t="s">
        <v>420</v>
      </c>
      <c r="B7" s="155" t="s">
        <v>421</v>
      </c>
      <c r="C7" s="155" t="s">
        <v>422</v>
      </c>
      <c r="D7" s="155" t="s">
        <v>388</v>
      </c>
      <c r="E7" s="155" t="s">
        <v>423</v>
      </c>
      <c r="F7" s="155" t="s">
        <v>424</v>
      </c>
      <c r="G7" s="155" t="s">
        <v>425</v>
      </c>
      <c r="H7" s="155" t="s">
        <v>426</v>
      </c>
      <c r="I7" s="155" t="s">
        <v>427</v>
      </c>
      <c r="J7" s="156" t="s">
        <v>428</v>
      </c>
      <c r="K7" s="156" t="s">
        <v>429</v>
      </c>
      <c r="L7" s="154" t="s">
        <v>430</v>
      </c>
      <c r="M7" s="154" t="s">
        <v>431</v>
      </c>
      <c r="N7" s="154" t="s">
        <v>432</v>
      </c>
      <c r="O7" s="154" t="s">
        <v>433</v>
      </c>
      <c r="P7" s="66" t="s">
        <v>434</v>
      </c>
      <c r="Q7" s="66" t="s">
        <v>435</v>
      </c>
    </row>
    <row r="8" spans="1:25" ht="12.75">
      <c r="A8" s="154"/>
      <c r="B8" s="155"/>
      <c r="C8" s="155"/>
      <c r="D8" s="155"/>
      <c r="E8" s="155"/>
      <c r="F8" s="155"/>
      <c r="G8" s="155"/>
      <c r="H8" s="155"/>
      <c r="I8" s="155"/>
      <c r="J8" s="156"/>
      <c r="K8" s="200">
        <v>-1</v>
      </c>
      <c r="L8" s="154"/>
      <c r="M8" s="154"/>
      <c r="N8" s="154"/>
      <c r="O8" s="66">
        <v>0</v>
      </c>
    </row>
    <row r="9" spans="1:25" ht="12.75">
      <c r="A9" s="154"/>
      <c r="B9" s="155"/>
      <c r="C9" s="155"/>
      <c r="D9" s="155"/>
      <c r="E9" s="155"/>
      <c r="F9" s="155"/>
      <c r="G9" s="155"/>
      <c r="H9" s="155"/>
      <c r="I9" s="155"/>
      <c r="J9" s="156"/>
      <c r="K9" s="76">
        <v>-0.01</v>
      </c>
      <c r="L9" s="154"/>
      <c r="M9" s="154"/>
      <c r="N9" s="154"/>
      <c r="O9" s="66">
        <v>0</v>
      </c>
    </row>
    <row r="10" spans="1:25" ht="12.75">
      <c r="A10" s="66">
        <f t="shared" ref="A10:A41" si="0">VINMAX</f>
        <v>17</v>
      </c>
      <c r="B10" s="69">
        <f t="shared" ref="B10:B41" si="1">VINMAX*((ROW()-10)/104)</f>
        <v>0</v>
      </c>
      <c r="C10" s="67">
        <f t="shared" ref="C10:C41" si="2">IF(B10&gt;=$H$2,IF($D$2="CC", $G$2, B10/$G$2), 0)</f>
        <v>0</v>
      </c>
      <c r="D10" s="206">
        <f>B2</f>
        <v>187.33333333333331</v>
      </c>
      <c r="E10" s="65">
        <f>MIN(D10/(A10-B10),$C$2)</f>
        <v>11.019607843137253</v>
      </c>
      <c r="F10" s="67">
        <f>I_Cout_ss+C10</f>
        <v>4.255319148936171</v>
      </c>
      <c r="G10" s="65">
        <f>IF($F$2="YES", F10, E10)</f>
        <v>4.255319148936171</v>
      </c>
      <c r="H10" s="67">
        <f t="shared" ref="H10:H41" si="3">G10-C10</f>
        <v>4.255319148936171</v>
      </c>
      <c r="I10" s="68">
        <f>(COUTMAX/1000000)*(B10)/H10</f>
        <v>0</v>
      </c>
      <c r="J10" s="75">
        <f>I10</f>
        <v>0</v>
      </c>
      <c r="K10" s="200">
        <f>J10*1000</f>
        <v>0</v>
      </c>
      <c r="L10" s="157">
        <f>H10/G10</f>
        <v>1</v>
      </c>
      <c r="M10" s="66">
        <f t="shared" ref="M10:M41" si="4">1/COUTMAX*(E10/2-C10)*1000</f>
        <v>0.55098039215686268</v>
      </c>
      <c r="N10" s="66">
        <f>I10*G10*(A10-B10)</f>
        <v>0</v>
      </c>
      <c r="O10" s="66">
        <f>G10*(A10-B10)</f>
        <v>72.340425531914903</v>
      </c>
      <c r="P10" s="66">
        <f t="shared" ref="P10:P41" si="5">(A10-B10)*(I_Cout_ss*$Q$2+C10)</f>
        <v>144.68085106382981</v>
      </c>
      <c r="Q10" s="66">
        <f t="shared" ref="Q10:Q41" si="6">(A10-B10)*(I_Cout_ss*$R$2+C10)</f>
        <v>27.12765957446809</v>
      </c>
    </row>
    <row r="11" spans="1:25" ht="12.75">
      <c r="A11" s="66">
        <f t="shared" si="0"/>
        <v>17</v>
      </c>
      <c r="B11" s="69">
        <f t="shared" si="1"/>
        <v>0.16346153846153846</v>
      </c>
      <c r="C11" s="67">
        <f t="shared" si="2"/>
        <v>0</v>
      </c>
      <c r="D11" s="206">
        <f>B2</f>
        <v>187.33333333333331</v>
      </c>
      <c r="E11" s="65">
        <f t="shared" ref="E11:E74" si="7">MIN(D11/(A11-B11),$C$2)</f>
        <v>11.126594327051208</v>
      </c>
      <c r="F11" s="67">
        <f t="shared" ref="F11:F41" si="8">I_Cout_ss+C11</f>
        <v>4.255319148936171</v>
      </c>
      <c r="G11" s="65">
        <f t="shared" ref="G11:G74" si="9">IF($F$2="YES", F11, E11)</f>
        <v>4.255319148936171</v>
      </c>
      <c r="H11" s="67">
        <f t="shared" si="3"/>
        <v>4.255319148936171</v>
      </c>
      <c r="I11" s="68">
        <f t="shared" ref="I11:I42" si="10">(COUTMAX/1000000)*(B11-B10)/H11</f>
        <v>3.8413461538461534E-4</v>
      </c>
      <c r="J11" s="75">
        <f>J10+I11</f>
        <v>3.8413461538461534E-4</v>
      </c>
      <c r="K11" s="200">
        <f t="shared" ref="K11:K74" si="11">J11*1000</f>
        <v>0.38413461538461535</v>
      </c>
      <c r="L11" s="157">
        <f t="shared" ref="L11:L74" si="12">H11/G11</f>
        <v>1</v>
      </c>
      <c r="M11" s="66">
        <f t="shared" si="4"/>
        <v>0.55632971635256045</v>
      </c>
      <c r="N11" s="66">
        <f t="shared" ref="N11:N13" si="13">I11*G11*(A11-B11)</f>
        <v>2.7521264792899409E-2</v>
      </c>
      <c r="O11" s="66">
        <f t="shared" ref="O11:O74" si="14">G11*(A11-B11)</f>
        <v>71.64484451718495</v>
      </c>
      <c r="P11" s="66">
        <f t="shared" si="5"/>
        <v>143.2896890343699</v>
      </c>
      <c r="Q11" s="66">
        <f t="shared" si="6"/>
        <v>26.866816693944358</v>
      </c>
    </row>
    <row r="12" spans="1:25" ht="12.75">
      <c r="A12" s="66">
        <f t="shared" si="0"/>
        <v>17</v>
      </c>
      <c r="B12" s="69">
        <f t="shared" si="1"/>
        <v>0.32692307692307693</v>
      </c>
      <c r="C12" s="67">
        <f t="shared" si="2"/>
        <v>0</v>
      </c>
      <c r="D12" s="206">
        <f>B2</f>
        <v>187.33333333333331</v>
      </c>
      <c r="E12" s="65">
        <f t="shared" si="7"/>
        <v>11.235678585159553</v>
      </c>
      <c r="F12" s="67">
        <f t="shared" si="8"/>
        <v>4.255319148936171</v>
      </c>
      <c r="G12" s="65">
        <f t="shared" si="9"/>
        <v>4.255319148936171</v>
      </c>
      <c r="H12" s="67">
        <f t="shared" si="3"/>
        <v>4.255319148936171</v>
      </c>
      <c r="I12" s="68">
        <f t="shared" si="10"/>
        <v>3.8413461538461534E-4</v>
      </c>
      <c r="J12" s="75">
        <f t="shared" ref="J12:J75" si="15">J11+I12</f>
        <v>7.6826923076923068E-4</v>
      </c>
      <c r="K12" s="200">
        <f t="shared" si="11"/>
        <v>0.7682692307692307</v>
      </c>
      <c r="L12" s="157">
        <f t="shared" si="12"/>
        <v>1</v>
      </c>
      <c r="M12" s="66">
        <f t="shared" si="4"/>
        <v>0.56178392925797771</v>
      </c>
      <c r="N12" s="66">
        <f>I12*G12*(A12-B12)</f>
        <v>2.7254068047337279E-2</v>
      </c>
      <c r="O12" s="66">
        <f t="shared" si="14"/>
        <v>70.949263502455011</v>
      </c>
      <c r="P12" s="66">
        <f t="shared" si="5"/>
        <v>141.89852700491002</v>
      </c>
      <c r="Q12" s="66">
        <f t="shared" si="6"/>
        <v>26.605973813420629</v>
      </c>
      <c r="X12" s="347" t="s">
        <v>436</v>
      </c>
      <c r="Y12" s="347"/>
    </row>
    <row r="13" spans="1:25" ht="12.75">
      <c r="A13" s="66">
        <f t="shared" si="0"/>
        <v>17</v>
      </c>
      <c r="B13" s="69">
        <f t="shared" si="1"/>
        <v>0.49038461538461542</v>
      </c>
      <c r="C13" s="67">
        <f t="shared" si="2"/>
        <v>0</v>
      </c>
      <c r="D13" s="206">
        <f>B2</f>
        <v>187.33333333333331</v>
      </c>
      <c r="E13" s="65">
        <f t="shared" si="7"/>
        <v>11.346922927586876</v>
      </c>
      <c r="F13" s="67">
        <f t="shared" si="8"/>
        <v>4.255319148936171</v>
      </c>
      <c r="G13" s="65">
        <f t="shared" si="9"/>
        <v>4.255319148936171</v>
      </c>
      <c r="H13" s="67">
        <f t="shared" si="3"/>
        <v>4.255319148936171</v>
      </c>
      <c r="I13" s="68">
        <f t="shared" si="10"/>
        <v>3.841346153846154E-4</v>
      </c>
      <c r="J13" s="75">
        <f t="shared" si="15"/>
        <v>1.152403846153846E-3</v>
      </c>
      <c r="K13" s="200">
        <f t="shared" si="11"/>
        <v>1.1524038461538459</v>
      </c>
      <c r="L13" s="157">
        <f t="shared" si="12"/>
        <v>1</v>
      </c>
      <c r="M13" s="66">
        <f t="shared" si="4"/>
        <v>0.56734614637934377</v>
      </c>
      <c r="N13" s="66">
        <f t="shared" si="13"/>
        <v>2.6986871301775153E-2</v>
      </c>
      <c r="O13" s="66">
        <f t="shared" si="14"/>
        <v>70.253682487725044</v>
      </c>
      <c r="P13" s="66">
        <f t="shared" si="5"/>
        <v>140.50736497545009</v>
      </c>
      <c r="Q13" s="66">
        <f t="shared" si="6"/>
        <v>26.345130932896897</v>
      </c>
      <c r="X13" s="70" t="s">
        <v>437</v>
      </c>
      <c r="Y13" s="71">
        <v>0.3</v>
      </c>
    </row>
    <row r="14" spans="1:25" ht="12.75">
      <c r="A14" s="66">
        <f t="shared" si="0"/>
        <v>17</v>
      </c>
      <c r="B14" s="69">
        <f t="shared" si="1"/>
        <v>0.65384615384615385</v>
      </c>
      <c r="C14" s="67">
        <f t="shared" si="2"/>
        <v>0</v>
      </c>
      <c r="D14" s="206">
        <f>B2</f>
        <v>187.33333333333331</v>
      </c>
      <c r="E14" s="65">
        <f t="shared" si="7"/>
        <v>11.460392156862744</v>
      </c>
      <c r="F14" s="67">
        <f t="shared" si="8"/>
        <v>4.255319148936171</v>
      </c>
      <c r="G14" s="65">
        <f t="shared" si="9"/>
        <v>4.255319148936171</v>
      </c>
      <c r="H14" s="67">
        <f t="shared" si="3"/>
        <v>4.255319148936171</v>
      </c>
      <c r="I14" s="68">
        <f t="shared" si="10"/>
        <v>3.8413461538461523E-4</v>
      </c>
      <c r="J14" s="75">
        <f t="shared" si="15"/>
        <v>1.5365384615384611E-3</v>
      </c>
      <c r="K14" s="200">
        <f t="shared" si="11"/>
        <v>1.5365384615384612</v>
      </c>
      <c r="L14" s="157">
        <f t="shared" si="12"/>
        <v>1</v>
      </c>
      <c r="M14" s="66">
        <f t="shared" si="4"/>
        <v>0.57301960784313721</v>
      </c>
      <c r="N14" s="66">
        <f t="shared" ref="N14:N74" si="16">I14*G14*(A14-B14)</f>
        <v>2.6719674556213015E-2</v>
      </c>
      <c r="O14" s="66">
        <f t="shared" si="14"/>
        <v>69.558101472995105</v>
      </c>
      <c r="P14" s="66">
        <f t="shared" si="5"/>
        <v>139.11620294599021</v>
      </c>
      <c r="Q14" s="66">
        <f t="shared" si="6"/>
        <v>26.084288052373168</v>
      </c>
      <c r="X14" s="70" t="s">
        <v>438</v>
      </c>
      <c r="Y14" s="71">
        <v>0.3</v>
      </c>
    </row>
    <row r="15" spans="1:25" ht="12.75">
      <c r="A15" s="66">
        <f t="shared" si="0"/>
        <v>17</v>
      </c>
      <c r="B15" s="69">
        <f t="shared" si="1"/>
        <v>0.8173076923076924</v>
      </c>
      <c r="C15" s="67">
        <f t="shared" si="2"/>
        <v>0</v>
      </c>
      <c r="D15" s="206">
        <f>B2</f>
        <v>187.33333333333331</v>
      </c>
      <c r="E15" s="65">
        <f t="shared" si="7"/>
        <v>11.576153693800752</v>
      </c>
      <c r="F15" s="67">
        <f t="shared" si="8"/>
        <v>4.255319148936171</v>
      </c>
      <c r="G15" s="65">
        <f t="shared" si="9"/>
        <v>4.255319148936171</v>
      </c>
      <c r="H15" s="67">
        <f t="shared" si="3"/>
        <v>4.255319148936171</v>
      </c>
      <c r="I15" s="68">
        <f t="shared" si="10"/>
        <v>3.841346153846155E-4</v>
      </c>
      <c r="J15" s="75">
        <f t="shared" si="15"/>
        <v>1.9206730769230768E-3</v>
      </c>
      <c r="K15" s="200">
        <f t="shared" si="11"/>
        <v>1.9206730769230766</v>
      </c>
      <c r="L15" s="157">
        <f t="shared" si="12"/>
        <v>1</v>
      </c>
      <c r="M15" s="66">
        <f t="shared" si="4"/>
        <v>0.57880768469003763</v>
      </c>
      <c r="N15" s="66">
        <f t="shared" si="16"/>
        <v>2.6452477810650899E-2</v>
      </c>
      <c r="O15" s="66">
        <f t="shared" si="14"/>
        <v>68.862520458265152</v>
      </c>
      <c r="P15" s="66">
        <f t="shared" si="5"/>
        <v>137.7250409165303</v>
      </c>
      <c r="Q15" s="66">
        <f t="shared" si="6"/>
        <v>25.823445171849432</v>
      </c>
      <c r="X15" s="70" t="s">
        <v>439</v>
      </c>
      <c r="Y15" s="71">
        <f>SQRT(Y14^2+Y13^2)</f>
        <v>0.42426406871192851</v>
      </c>
    </row>
    <row r="16" spans="1:25" ht="12.75">
      <c r="A16" s="66">
        <f t="shared" si="0"/>
        <v>17</v>
      </c>
      <c r="B16" s="69">
        <f t="shared" si="1"/>
        <v>0.98076923076923084</v>
      </c>
      <c r="C16" s="67">
        <f t="shared" si="2"/>
        <v>0</v>
      </c>
      <c r="D16" s="206">
        <f>B2</f>
        <v>187.33333333333331</v>
      </c>
      <c r="E16" s="65">
        <f t="shared" si="7"/>
        <v>11.694277711084432</v>
      </c>
      <c r="F16" s="67">
        <f t="shared" si="8"/>
        <v>4.255319148936171</v>
      </c>
      <c r="G16" s="65">
        <f t="shared" si="9"/>
        <v>4.255319148936171</v>
      </c>
      <c r="H16" s="67">
        <f t="shared" si="3"/>
        <v>4.255319148936171</v>
      </c>
      <c r="I16" s="68">
        <f t="shared" si="10"/>
        <v>3.8413461538461523E-4</v>
      </c>
      <c r="J16" s="75">
        <f t="shared" si="15"/>
        <v>2.3048076923076919E-3</v>
      </c>
      <c r="K16" s="200">
        <f t="shared" si="11"/>
        <v>2.3048076923076919</v>
      </c>
      <c r="L16" s="157">
        <f t="shared" si="12"/>
        <v>1</v>
      </c>
      <c r="M16" s="66">
        <f t="shared" si="4"/>
        <v>0.58471388555422155</v>
      </c>
      <c r="N16" s="66">
        <f t="shared" si="16"/>
        <v>2.6185281065088755E-2</v>
      </c>
      <c r="O16" s="66">
        <f t="shared" si="14"/>
        <v>68.166939443535199</v>
      </c>
      <c r="P16" s="66">
        <f t="shared" si="5"/>
        <v>136.3338788870704</v>
      </c>
      <c r="Q16" s="66">
        <f t="shared" si="6"/>
        <v>25.562602291325703</v>
      </c>
      <c r="X16" s="71"/>
      <c r="Y16" s="71"/>
    </row>
    <row r="17" spans="1:25" ht="12.75">
      <c r="A17" s="66">
        <f t="shared" si="0"/>
        <v>17</v>
      </c>
      <c r="B17" s="69">
        <f t="shared" si="1"/>
        <v>1.1442307692307692</v>
      </c>
      <c r="C17" s="67">
        <f t="shared" si="2"/>
        <v>0</v>
      </c>
      <c r="D17" s="206">
        <f>B2</f>
        <v>187.33333333333331</v>
      </c>
      <c r="E17" s="65">
        <f t="shared" si="7"/>
        <v>11.814837275116231</v>
      </c>
      <c r="F17" s="67">
        <f t="shared" si="8"/>
        <v>4.255319148936171</v>
      </c>
      <c r="G17" s="65">
        <f t="shared" si="9"/>
        <v>4.255319148936171</v>
      </c>
      <c r="H17" s="67">
        <f t="shared" si="3"/>
        <v>4.255319148936171</v>
      </c>
      <c r="I17" s="68">
        <f t="shared" si="10"/>
        <v>3.8413461538461496E-4</v>
      </c>
      <c r="J17" s="75">
        <f t="shared" si="15"/>
        <v>2.6889423076923071E-3</v>
      </c>
      <c r="K17" s="200">
        <f t="shared" si="11"/>
        <v>2.6889423076923071</v>
      </c>
      <c r="L17" s="157">
        <f t="shared" si="12"/>
        <v>1</v>
      </c>
      <c r="M17" s="66">
        <f t="shared" si="4"/>
        <v>0.5907418637558115</v>
      </c>
      <c r="N17" s="66">
        <f t="shared" si="16"/>
        <v>2.5918084319526604E-2</v>
      </c>
      <c r="O17" s="66">
        <f t="shared" si="14"/>
        <v>67.471358428805246</v>
      </c>
      <c r="P17" s="66">
        <f t="shared" si="5"/>
        <v>134.94271685761049</v>
      </c>
      <c r="Q17" s="66">
        <f t="shared" si="6"/>
        <v>25.301759410801971</v>
      </c>
      <c r="X17" s="70" t="s">
        <v>388</v>
      </c>
      <c r="Y17" s="71">
        <v>0.3</v>
      </c>
    </row>
    <row r="18" spans="1:25" ht="12.75">
      <c r="A18" s="66">
        <f t="shared" si="0"/>
        <v>17</v>
      </c>
      <c r="B18" s="69">
        <f t="shared" si="1"/>
        <v>1.3076923076923077</v>
      </c>
      <c r="C18" s="67">
        <f t="shared" si="2"/>
        <v>0</v>
      </c>
      <c r="D18" s="206">
        <f>B2</f>
        <v>187.33333333333331</v>
      </c>
      <c r="E18" s="65">
        <f t="shared" si="7"/>
        <v>11.937908496732025</v>
      </c>
      <c r="F18" s="67">
        <f t="shared" si="8"/>
        <v>4.255319148936171</v>
      </c>
      <c r="G18" s="65">
        <f t="shared" si="9"/>
        <v>4.255319148936171</v>
      </c>
      <c r="H18" s="67">
        <f t="shared" si="3"/>
        <v>4.255319148936171</v>
      </c>
      <c r="I18" s="68">
        <f t="shared" si="10"/>
        <v>3.841346153846155E-4</v>
      </c>
      <c r="J18" s="75">
        <f t="shared" si="15"/>
        <v>3.0730769230769227E-3</v>
      </c>
      <c r="K18" s="200">
        <f t="shared" si="11"/>
        <v>3.0730769230769228</v>
      </c>
      <c r="L18" s="157">
        <f t="shared" si="12"/>
        <v>1</v>
      </c>
      <c r="M18" s="66">
        <f t="shared" si="4"/>
        <v>0.5968954248366013</v>
      </c>
      <c r="N18" s="66">
        <f t="shared" si="16"/>
        <v>2.5650887573964509E-2</v>
      </c>
      <c r="O18" s="66">
        <f t="shared" si="14"/>
        <v>66.775777414075293</v>
      </c>
      <c r="P18" s="66">
        <f t="shared" si="5"/>
        <v>133.55155482815059</v>
      </c>
      <c r="Q18" s="66">
        <f t="shared" si="6"/>
        <v>25.040916530278238</v>
      </c>
      <c r="X18" s="70" t="s">
        <v>440</v>
      </c>
      <c r="Y18" s="71">
        <f>MAX(Y15:Y17)</f>
        <v>0.42426406871192851</v>
      </c>
    </row>
    <row r="19" spans="1:25" ht="12.75">
      <c r="A19" s="66">
        <f t="shared" si="0"/>
        <v>17</v>
      </c>
      <c r="B19" s="69">
        <f t="shared" si="1"/>
        <v>1.471153846153846</v>
      </c>
      <c r="C19" s="67">
        <f t="shared" si="2"/>
        <v>0</v>
      </c>
      <c r="D19" s="206">
        <f>B2</f>
        <v>187.33333333333331</v>
      </c>
      <c r="E19" s="65">
        <f t="shared" si="7"/>
        <v>12.063570691434467</v>
      </c>
      <c r="F19" s="67">
        <f t="shared" si="8"/>
        <v>4.255319148936171</v>
      </c>
      <c r="G19" s="65">
        <f t="shared" si="9"/>
        <v>4.255319148936171</v>
      </c>
      <c r="H19" s="67">
        <f t="shared" si="3"/>
        <v>4.255319148936171</v>
      </c>
      <c r="I19" s="68">
        <f t="shared" si="10"/>
        <v>3.8413461538461496E-4</v>
      </c>
      <c r="J19" s="75">
        <f t="shared" si="15"/>
        <v>3.4572115384615375E-3</v>
      </c>
      <c r="K19" s="200">
        <f t="shared" si="11"/>
        <v>3.4572115384615376</v>
      </c>
      <c r="L19" s="157">
        <f t="shared" si="12"/>
        <v>1</v>
      </c>
      <c r="M19" s="66">
        <f t="shared" si="4"/>
        <v>0.60317853457172332</v>
      </c>
      <c r="N19" s="66">
        <f t="shared" si="16"/>
        <v>2.5383690828402344E-2</v>
      </c>
      <c r="O19" s="66">
        <f t="shared" si="14"/>
        <v>66.08019639934534</v>
      </c>
      <c r="P19" s="66">
        <f t="shared" si="5"/>
        <v>132.16039279869068</v>
      </c>
      <c r="Q19" s="66">
        <f t="shared" si="6"/>
        <v>24.780073649754506</v>
      </c>
      <c r="X19" s="71"/>
      <c r="Y19" s="71"/>
    </row>
    <row r="20" spans="1:25" ht="12.75">
      <c r="A20" s="66">
        <f t="shared" si="0"/>
        <v>17</v>
      </c>
      <c r="B20" s="69">
        <f t="shared" si="1"/>
        <v>1.6346153846153848</v>
      </c>
      <c r="C20" s="67">
        <f t="shared" si="2"/>
        <v>0</v>
      </c>
      <c r="D20" s="206">
        <f>B2</f>
        <v>187.33333333333331</v>
      </c>
      <c r="E20" s="65">
        <f t="shared" si="7"/>
        <v>12.191906549853984</v>
      </c>
      <c r="F20" s="67">
        <f t="shared" si="8"/>
        <v>4.255319148936171</v>
      </c>
      <c r="G20" s="65">
        <f t="shared" si="9"/>
        <v>4.255319148936171</v>
      </c>
      <c r="H20" s="67">
        <f t="shared" si="3"/>
        <v>4.255319148936171</v>
      </c>
      <c r="I20" s="68">
        <f t="shared" si="10"/>
        <v>3.8413461538461605E-4</v>
      </c>
      <c r="J20" s="75">
        <f t="shared" si="15"/>
        <v>3.8413461538461535E-3</v>
      </c>
      <c r="K20" s="200">
        <f t="shared" si="11"/>
        <v>3.8413461538461533</v>
      </c>
      <c r="L20" s="157">
        <f t="shared" si="12"/>
        <v>1</v>
      </c>
      <c r="M20" s="66">
        <f t="shared" si="4"/>
        <v>0.60959532749269918</v>
      </c>
      <c r="N20" s="66">
        <f t="shared" si="16"/>
        <v>2.5116494082840286E-2</v>
      </c>
      <c r="O20" s="66">
        <f t="shared" si="14"/>
        <v>65.384615384615401</v>
      </c>
      <c r="P20" s="66">
        <f t="shared" si="5"/>
        <v>130.7692307692308</v>
      </c>
      <c r="Q20" s="66">
        <f t="shared" si="6"/>
        <v>24.519230769230774</v>
      </c>
      <c r="X20" s="70" t="s">
        <v>441</v>
      </c>
      <c r="Y20" s="71">
        <v>0.2</v>
      </c>
    </row>
    <row r="21" spans="1:25" ht="12.75">
      <c r="A21" s="66">
        <f t="shared" si="0"/>
        <v>17</v>
      </c>
      <c r="B21" s="69">
        <f t="shared" si="1"/>
        <v>1.7980769230769231</v>
      </c>
      <c r="C21" s="67">
        <f t="shared" si="2"/>
        <v>0</v>
      </c>
      <c r="D21" s="206">
        <f>B2</f>
        <v>187.33333333333331</v>
      </c>
      <c r="E21" s="65">
        <f t="shared" si="7"/>
        <v>12.323002319207252</v>
      </c>
      <c r="F21" s="67">
        <f t="shared" si="8"/>
        <v>4.255319148936171</v>
      </c>
      <c r="G21" s="65">
        <f t="shared" si="9"/>
        <v>4.255319148936171</v>
      </c>
      <c r="H21" s="67">
        <f t="shared" si="3"/>
        <v>4.255319148936171</v>
      </c>
      <c r="I21" s="68">
        <f t="shared" si="10"/>
        <v>3.8413461538461496E-4</v>
      </c>
      <c r="J21" s="75">
        <f t="shared" si="15"/>
        <v>4.2254807692307687E-3</v>
      </c>
      <c r="K21" s="200">
        <f t="shared" si="11"/>
        <v>4.225480769230769</v>
      </c>
      <c r="L21" s="157">
        <f t="shared" si="12"/>
        <v>1</v>
      </c>
      <c r="M21" s="66">
        <f t="shared" si="4"/>
        <v>0.61615011596036262</v>
      </c>
      <c r="N21" s="66">
        <f t="shared" si="16"/>
        <v>2.4849297337278087E-2</v>
      </c>
      <c r="O21" s="66">
        <f t="shared" si="14"/>
        <v>64.689034369885448</v>
      </c>
      <c r="P21" s="66">
        <f t="shared" si="5"/>
        <v>129.3780687397709</v>
      </c>
      <c r="Q21" s="66">
        <f t="shared" si="6"/>
        <v>24.258387888707045</v>
      </c>
      <c r="X21" s="70" t="s">
        <v>442</v>
      </c>
      <c r="Y21" s="71">
        <v>0.2</v>
      </c>
    </row>
    <row r="22" spans="1:25" ht="12.75">
      <c r="A22" s="66">
        <f t="shared" si="0"/>
        <v>17</v>
      </c>
      <c r="B22" s="69">
        <f t="shared" si="1"/>
        <v>1.9615384615384617</v>
      </c>
      <c r="C22" s="67">
        <f t="shared" si="2"/>
        <v>0</v>
      </c>
      <c r="D22" s="206">
        <f>B2</f>
        <v>187.33333333333331</v>
      </c>
      <c r="E22" s="65">
        <f t="shared" si="7"/>
        <v>12.456947996589939</v>
      </c>
      <c r="F22" s="67">
        <f t="shared" si="8"/>
        <v>4.255319148936171</v>
      </c>
      <c r="G22" s="65">
        <f t="shared" si="9"/>
        <v>4.255319148936171</v>
      </c>
      <c r="H22" s="67">
        <f t="shared" si="3"/>
        <v>4.255319148936171</v>
      </c>
      <c r="I22" s="68">
        <f t="shared" si="10"/>
        <v>3.841346153846155E-4</v>
      </c>
      <c r="J22" s="75">
        <f t="shared" si="15"/>
        <v>4.6096153846153839E-3</v>
      </c>
      <c r="K22" s="200">
        <f t="shared" si="11"/>
        <v>4.6096153846153838</v>
      </c>
      <c r="L22" s="157">
        <f t="shared" si="12"/>
        <v>1</v>
      </c>
      <c r="M22" s="66">
        <f t="shared" si="4"/>
        <v>0.62284739982949699</v>
      </c>
      <c r="N22" s="66">
        <f t="shared" si="16"/>
        <v>2.4582100591715988E-2</v>
      </c>
      <c r="O22" s="66">
        <f t="shared" si="14"/>
        <v>63.993453355155495</v>
      </c>
      <c r="P22" s="66">
        <f t="shared" si="5"/>
        <v>127.98690671031099</v>
      </c>
      <c r="Q22" s="66">
        <f t="shared" si="6"/>
        <v>23.997545008183312</v>
      </c>
      <c r="X22" s="70" t="s">
        <v>439</v>
      </c>
      <c r="Y22" s="71">
        <f>SQRT(Y21^2+Y20^2)</f>
        <v>0.28284271247461906</v>
      </c>
    </row>
    <row r="23" spans="1:25" ht="12.75">
      <c r="A23" s="66">
        <f t="shared" si="0"/>
        <v>17</v>
      </c>
      <c r="B23" s="69">
        <f t="shared" si="1"/>
        <v>2.125</v>
      </c>
      <c r="C23" s="67">
        <f t="shared" si="2"/>
        <v>0</v>
      </c>
      <c r="D23" s="206">
        <f>B2</f>
        <v>187.33333333333331</v>
      </c>
      <c r="E23" s="65">
        <f t="shared" si="7"/>
        <v>12.593837535014003</v>
      </c>
      <c r="F23" s="67">
        <f t="shared" si="8"/>
        <v>4.255319148936171</v>
      </c>
      <c r="G23" s="65">
        <f t="shared" si="9"/>
        <v>4.255319148936171</v>
      </c>
      <c r="H23" s="67">
        <f t="shared" si="3"/>
        <v>4.255319148936171</v>
      </c>
      <c r="I23" s="68">
        <f t="shared" si="10"/>
        <v>3.8413461538461496E-4</v>
      </c>
      <c r="J23" s="75">
        <f t="shared" si="15"/>
        <v>4.9937499999999991E-3</v>
      </c>
      <c r="K23" s="200">
        <f t="shared" si="11"/>
        <v>4.9937499999999995</v>
      </c>
      <c r="L23" s="157">
        <f t="shared" si="12"/>
        <v>1</v>
      </c>
      <c r="M23" s="66">
        <f t="shared" si="4"/>
        <v>0.62969187675070015</v>
      </c>
      <c r="N23" s="66">
        <f t="shared" si="16"/>
        <v>2.4314903846153826E-2</v>
      </c>
      <c r="O23" s="66">
        <f t="shared" si="14"/>
        <v>63.297872340425542</v>
      </c>
      <c r="P23" s="66">
        <f t="shared" si="5"/>
        <v>126.59574468085108</v>
      </c>
      <c r="Q23" s="66">
        <f t="shared" si="6"/>
        <v>23.73670212765958</v>
      </c>
      <c r="X23" s="71"/>
      <c r="Y23" s="71"/>
    </row>
    <row r="24" spans="1:25" ht="12.75">
      <c r="A24" s="66">
        <f t="shared" si="0"/>
        <v>17</v>
      </c>
      <c r="B24" s="69">
        <f t="shared" si="1"/>
        <v>2.2884615384615383</v>
      </c>
      <c r="C24" s="67">
        <f t="shared" si="2"/>
        <v>0</v>
      </c>
      <c r="D24" s="206">
        <f>B2</f>
        <v>187.33333333333331</v>
      </c>
      <c r="E24" s="65">
        <f t="shared" si="7"/>
        <v>12.733769063180826</v>
      </c>
      <c r="F24" s="67">
        <f t="shared" si="8"/>
        <v>4.255319148936171</v>
      </c>
      <c r="G24" s="65">
        <f t="shared" si="9"/>
        <v>4.255319148936171</v>
      </c>
      <c r="H24" s="67">
        <f t="shared" si="3"/>
        <v>4.255319148936171</v>
      </c>
      <c r="I24" s="68">
        <f t="shared" si="10"/>
        <v>3.8413461538461496E-4</v>
      </c>
      <c r="J24" s="75">
        <f t="shared" si="15"/>
        <v>5.3778846153846142E-3</v>
      </c>
      <c r="K24" s="200">
        <f t="shared" si="11"/>
        <v>5.3778846153846143</v>
      </c>
      <c r="L24" s="157">
        <f t="shared" si="12"/>
        <v>1</v>
      </c>
      <c r="M24" s="66">
        <f t="shared" si="4"/>
        <v>0.63668845315904132</v>
      </c>
      <c r="N24" s="66">
        <f t="shared" si="16"/>
        <v>2.4047707100591696E-2</v>
      </c>
      <c r="O24" s="66">
        <f t="shared" si="14"/>
        <v>62.602291325695596</v>
      </c>
      <c r="P24" s="66">
        <f t="shared" si="5"/>
        <v>125.20458265139119</v>
      </c>
      <c r="Q24" s="66">
        <f t="shared" si="6"/>
        <v>23.475859247135848</v>
      </c>
      <c r="X24" s="70" t="s">
        <v>443</v>
      </c>
      <c r="Y24" s="71">
        <f>SQRT(Y18^2+Y22^2)</f>
        <v>0.50990195135927852</v>
      </c>
    </row>
    <row r="25" spans="1:25" ht="12.75">
      <c r="A25" s="66">
        <f t="shared" si="0"/>
        <v>17</v>
      </c>
      <c r="B25" s="69">
        <f t="shared" si="1"/>
        <v>2.4519230769230766</v>
      </c>
      <c r="C25" s="67">
        <f t="shared" si="2"/>
        <v>0</v>
      </c>
      <c r="D25" s="206">
        <f>B2</f>
        <v>187.33333333333331</v>
      </c>
      <c r="E25" s="65">
        <f t="shared" si="7"/>
        <v>12.876845120070499</v>
      </c>
      <c r="F25" s="67">
        <f t="shared" si="8"/>
        <v>4.255319148936171</v>
      </c>
      <c r="G25" s="65">
        <f t="shared" si="9"/>
        <v>4.255319148936171</v>
      </c>
      <c r="H25" s="67">
        <f t="shared" si="3"/>
        <v>4.255319148936171</v>
      </c>
      <c r="I25" s="68">
        <f t="shared" si="10"/>
        <v>3.8413461538461496E-4</v>
      </c>
      <c r="J25" s="75">
        <f t="shared" si="15"/>
        <v>5.7620192307692294E-3</v>
      </c>
      <c r="K25" s="200">
        <f t="shared" si="11"/>
        <v>5.7620192307692291</v>
      </c>
      <c r="L25" s="157">
        <f t="shared" si="12"/>
        <v>1</v>
      </c>
      <c r="M25" s="66">
        <f t="shared" si="4"/>
        <v>0.64384225600352496</v>
      </c>
      <c r="N25" s="66">
        <f t="shared" si="16"/>
        <v>2.3780510355029566E-2</v>
      </c>
      <c r="O25" s="66">
        <f t="shared" si="14"/>
        <v>61.906710310965643</v>
      </c>
      <c r="P25" s="66">
        <f t="shared" si="5"/>
        <v>123.81342062193129</v>
      </c>
      <c r="Q25" s="66">
        <f t="shared" si="6"/>
        <v>23.215016366612119</v>
      </c>
    </row>
    <row r="26" spans="1:25" ht="12.75">
      <c r="A26" s="66">
        <f t="shared" si="0"/>
        <v>17</v>
      </c>
      <c r="B26" s="69">
        <f t="shared" si="1"/>
        <v>2.6153846153846154</v>
      </c>
      <c r="C26" s="67">
        <f t="shared" si="2"/>
        <v>0</v>
      </c>
      <c r="D26" s="206">
        <f>B2</f>
        <v>187.33333333333331</v>
      </c>
      <c r="E26" s="65">
        <f t="shared" si="7"/>
        <v>13.023172905525845</v>
      </c>
      <c r="F26" s="67">
        <f t="shared" si="8"/>
        <v>4.255319148936171</v>
      </c>
      <c r="G26" s="65">
        <f t="shared" si="9"/>
        <v>4.255319148936171</v>
      </c>
      <c r="H26" s="67">
        <f t="shared" si="3"/>
        <v>4.255319148936171</v>
      </c>
      <c r="I26" s="68">
        <f t="shared" si="10"/>
        <v>3.8413461538461605E-4</v>
      </c>
      <c r="J26" s="75">
        <f t="shared" si="15"/>
        <v>6.1461538461538455E-3</v>
      </c>
      <c r="K26" s="200">
        <f t="shared" si="11"/>
        <v>6.1461538461538456</v>
      </c>
      <c r="L26" s="157">
        <f t="shared" si="12"/>
        <v>1</v>
      </c>
      <c r="M26" s="66">
        <f t="shared" si="4"/>
        <v>0.65115864527629219</v>
      </c>
      <c r="N26" s="66">
        <f t="shared" si="16"/>
        <v>2.3513313609467502E-2</v>
      </c>
      <c r="O26" s="66">
        <f t="shared" si="14"/>
        <v>61.21112929623569</v>
      </c>
      <c r="P26" s="66">
        <f t="shared" si="5"/>
        <v>122.42225859247138</v>
      </c>
      <c r="Q26" s="66">
        <f t="shared" si="6"/>
        <v>22.954173486088386</v>
      </c>
    </row>
    <row r="27" spans="1:25" ht="12.75">
      <c r="A27" s="66">
        <f t="shared" si="0"/>
        <v>17</v>
      </c>
      <c r="B27" s="69">
        <f t="shared" si="1"/>
        <v>2.7788461538461537</v>
      </c>
      <c r="C27" s="67">
        <f t="shared" si="2"/>
        <v>0</v>
      </c>
      <c r="D27" s="206">
        <f>B2</f>
        <v>187.33333333333331</v>
      </c>
      <c r="E27" s="65">
        <f t="shared" si="7"/>
        <v>13.172864548118095</v>
      </c>
      <c r="F27" s="67">
        <f t="shared" si="8"/>
        <v>4.255319148936171</v>
      </c>
      <c r="G27" s="65">
        <f t="shared" si="9"/>
        <v>4.255319148936171</v>
      </c>
      <c r="H27" s="67">
        <f t="shared" si="3"/>
        <v>4.255319148936171</v>
      </c>
      <c r="I27" s="68">
        <f t="shared" si="10"/>
        <v>3.8413461538461496E-4</v>
      </c>
      <c r="J27" s="75">
        <f t="shared" si="15"/>
        <v>6.5302884615384606E-3</v>
      </c>
      <c r="K27" s="200">
        <f t="shared" si="11"/>
        <v>6.5302884615384604</v>
      </c>
      <c r="L27" s="157">
        <f t="shared" si="12"/>
        <v>1</v>
      </c>
      <c r="M27" s="66">
        <f t="shared" si="4"/>
        <v>0.65864322740590486</v>
      </c>
      <c r="N27" s="66">
        <f t="shared" si="16"/>
        <v>2.3246116863905306E-2</v>
      </c>
      <c r="O27" s="66">
        <f t="shared" si="14"/>
        <v>60.515548281505744</v>
      </c>
      <c r="P27" s="66">
        <f t="shared" si="5"/>
        <v>121.03109656301149</v>
      </c>
      <c r="Q27" s="66">
        <f t="shared" si="6"/>
        <v>22.693330605564654</v>
      </c>
    </row>
    <row r="28" spans="1:25" ht="12.75">
      <c r="A28" s="66">
        <f t="shared" si="0"/>
        <v>17</v>
      </c>
      <c r="B28" s="69">
        <f t="shared" si="1"/>
        <v>2.9423076923076921</v>
      </c>
      <c r="C28" s="67">
        <f t="shared" si="2"/>
        <v>0</v>
      </c>
      <c r="D28" s="206">
        <f>B2</f>
        <v>187.33333333333331</v>
      </c>
      <c r="E28" s="65">
        <f t="shared" si="7"/>
        <v>13.326037391700865</v>
      </c>
      <c r="F28" s="67">
        <f t="shared" si="8"/>
        <v>4.255319148936171</v>
      </c>
      <c r="G28" s="65">
        <f t="shared" si="9"/>
        <v>4.255319148936171</v>
      </c>
      <c r="H28" s="67">
        <f t="shared" si="3"/>
        <v>4.255319148936171</v>
      </c>
      <c r="I28" s="68">
        <f t="shared" si="10"/>
        <v>3.8413461538461496E-4</v>
      </c>
      <c r="J28" s="75">
        <f t="shared" si="15"/>
        <v>6.9144230769230758E-3</v>
      </c>
      <c r="K28" s="200">
        <f t="shared" si="11"/>
        <v>6.9144230769230761</v>
      </c>
      <c r="L28" s="157">
        <f t="shared" si="12"/>
        <v>1</v>
      </c>
      <c r="M28" s="66">
        <f t="shared" si="4"/>
        <v>0.66630186958504334</v>
      </c>
      <c r="N28" s="66">
        <f t="shared" si="16"/>
        <v>2.2978920118343175E-2</v>
      </c>
      <c r="O28" s="66">
        <f t="shared" si="14"/>
        <v>59.819967266775791</v>
      </c>
      <c r="P28" s="66">
        <f t="shared" si="5"/>
        <v>119.63993453355158</v>
      </c>
      <c r="Q28" s="66">
        <f t="shared" si="6"/>
        <v>22.432487725040925</v>
      </c>
    </row>
    <row r="29" spans="1:25" ht="12.75">
      <c r="A29" s="66">
        <f t="shared" si="0"/>
        <v>17</v>
      </c>
      <c r="B29" s="69">
        <f t="shared" si="1"/>
        <v>3.1057692307692304</v>
      </c>
      <c r="C29" s="67">
        <f t="shared" si="2"/>
        <v>0</v>
      </c>
      <c r="D29" s="206">
        <f>B2</f>
        <v>187.33333333333331</v>
      </c>
      <c r="E29" s="65">
        <f t="shared" si="7"/>
        <v>13.482814302191462</v>
      </c>
      <c r="F29" s="67">
        <f t="shared" si="8"/>
        <v>4.255319148936171</v>
      </c>
      <c r="G29" s="65">
        <f t="shared" si="9"/>
        <v>4.255319148936171</v>
      </c>
      <c r="H29" s="67">
        <f t="shared" si="3"/>
        <v>4.255319148936171</v>
      </c>
      <c r="I29" s="68">
        <f t="shared" si="10"/>
        <v>3.8413461538461496E-4</v>
      </c>
      <c r="J29" s="75">
        <f t="shared" si="15"/>
        <v>7.298557692307691E-3</v>
      </c>
      <c r="K29" s="200">
        <f t="shared" si="11"/>
        <v>7.2985576923076909</v>
      </c>
      <c r="L29" s="157">
        <f t="shared" si="12"/>
        <v>1</v>
      </c>
      <c r="M29" s="66">
        <f t="shared" si="4"/>
        <v>0.67414071510957319</v>
      </c>
      <c r="N29" s="66">
        <f t="shared" si="16"/>
        <v>2.2711723372781049E-2</v>
      </c>
      <c r="O29" s="66">
        <f t="shared" si="14"/>
        <v>59.124386252045838</v>
      </c>
      <c r="P29" s="66">
        <f t="shared" si="5"/>
        <v>118.24877250409168</v>
      </c>
      <c r="Q29" s="66">
        <f t="shared" si="6"/>
        <v>22.171644844517193</v>
      </c>
    </row>
    <row r="30" spans="1:25" ht="12.75">
      <c r="A30" s="66">
        <f t="shared" si="0"/>
        <v>17</v>
      </c>
      <c r="B30" s="69">
        <f t="shared" si="1"/>
        <v>3.2692307692307696</v>
      </c>
      <c r="C30" s="67">
        <f t="shared" si="2"/>
        <v>0</v>
      </c>
      <c r="D30" s="206">
        <f>B2</f>
        <v>187.33333333333331</v>
      </c>
      <c r="E30" s="65">
        <f t="shared" si="7"/>
        <v>13.643323996265172</v>
      </c>
      <c r="F30" s="67">
        <f t="shared" si="8"/>
        <v>4.255319148936171</v>
      </c>
      <c r="G30" s="65">
        <f t="shared" si="9"/>
        <v>4.255319148936171</v>
      </c>
      <c r="H30" s="67">
        <f t="shared" si="3"/>
        <v>4.255319148936171</v>
      </c>
      <c r="I30" s="68">
        <f t="shared" si="10"/>
        <v>3.8413461538461708E-4</v>
      </c>
      <c r="J30" s="75">
        <f t="shared" si="15"/>
        <v>7.6826923076923079E-3</v>
      </c>
      <c r="K30" s="200">
        <f t="shared" si="11"/>
        <v>7.6826923076923075</v>
      </c>
      <c r="L30" s="157">
        <f t="shared" si="12"/>
        <v>1</v>
      </c>
      <c r="M30" s="66">
        <f t="shared" si="4"/>
        <v>0.68216619981325866</v>
      </c>
      <c r="N30" s="66">
        <f t="shared" si="16"/>
        <v>2.2444526627219036E-2</v>
      </c>
      <c r="O30" s="66">
        <f t="shared" si="14"/>
        <v>58.428805237315885</v>
      </c>
      <c r="P30" s="66">
        <f t="shared" si="5"/>
        <v>116.85761047463177</v>
      </c>
      <c r="Q30" s="66">
        <f t="shared" si="6"/>
        <v>21.910801963993457</v>
      </c>
    </row>
    <row r="31" spans="1:25" ht="12.75">
      <c r="A31" s="66">
        <f t="shared" si="0"/>
        <v>17</v>
      </c>
      <c r="B31" s="69">
        <f t="shared" si="1"/>
        <v>3.4326923076923079</v>
      </c>
      <c r="C31" s="67">
        <f t="shared" si="2"/>
        <v>0</v>
      </c>
      <c r="D31" s="206">
        <f>B2</f>
        <v>187.33333333333331</v>
      </c>
      <c r="E31" s="65">
        <f t="shared" si="7"/>
        <v>13.807701393810536</v>
      </c>
      <c r="F31" s="67">
        <f t="shared" si="8"/>
        <v>4.255319148936171</v>
      </c>
      <c r="G31" s="65">
        <f t="shared" si="9"/>
        <v>4.255319148936171</v>
      </c>
      <c r="H31" s="67">
        <f t="shared" si="3"/>
        <v>4.255319148936171</v>
      </c>
      <c r="I31" s="68">
        <f t="shared" si="10"/>
        <v>3.8413461538461496E-4</v>
      </c>
      <c r="J31" s="75">
        <f t="shared" si="15"/>
        <v>8.0668269230769231E-3</v>
      </c>
      <c r="K31" s="200">
        <f t="shared" si="11"/>
        <v>8.0668269230769223</v>
      </c>
      <c r="L31" s="157">
        <f t="shared" si="12"/>
        <v>1</v>
      </c>
      <c r="M31" s="66">
        <f t="shared" si="4"/>
        <v>0.69038506969052682</v>
      </c>
      <c r="N31" s="66">
        <f t="shared" si="16"/>
        <v>2.2177329881656785E-2</v>
      </c>
      <c r="O31" s="66">
        <f t="shared" si="14"/>
        <v>57.733224222585932</v>
      </c>
      <c r="P31" s="66">
        <f t="shared" si="5"/>
        <v>115.46644844517186</v>
      </c>
      <c r="Q31" s="66">
        <f t="shared" si="6"/>
        <v>21.649959083469728</v>
      </c>
    </row>
    <row r="32" spans="1:25" ht="12.75">
      <c r="A32" s="66">
        <f t="shared" si="0"/>
        <v>17</v>
      </c>
      <c r="B32" s="69">
        <f t="shared" si="1"/>
        <v>3.5961538461538463</v>
      </c>
      <c r="C32" s="67">
        <f t="shared" si="2"/>
        <v>0</v>
      </c>
      <c r="D32" s="206">
        <f>B2</f>
        <v>187.33333333333331</v>
      </c>
      <c r="E32" s="65">
        <f t="shared" si="7"/>
        <v>13.976087996174078</v>
      </c>
      <c r="F32" s="67">
        <f t="shared" si="8"/>
        <v>4.255319148936171</v>
      </c>
      <c r="G32" s="65">
        <f t="shared" si="9"/>
        <v>4.255319148936171</v>
      </c>
      <c r="H32" s="67">
        <f t="shared" si="3"/>
        <v>4.255319148936171</v>
      </c>
      <c r="I32" s="68">
        <f t="shared" si="10"/>
        <v>3.8413461538461496E-4</v>
      </c>
      <c r="J32" s="75">
        <f t="shared" si="15"/>
        <v>8.4509615384615374E-3</v>
      </c>
      <c r="K32" s="200">
        <f t="shared" si="11"/>
        <v>8.450961538461538</v>
      </c>
      <c r="L32" s="157">
        <f t="shared" si="12"/>
        <v>1</v>
      </c>
      <c r="M32" s="66">
        <f t="shared" si="4"/>
        <v>0.69880439980870401</v>
      </c>
      <c r="N32" s="66">
        <f t="shared" si="16"/>
        <v>2.1910133136094655E-2</v>
      </c>
      <c r="O32" s="66">
        <f t="shared" si="14"/>
        <v>57.037643207855986</v>
      </c>
      <c r="P32" s="66">
        <f t="shared" si="5"/>
        <v>114.07528641571197</v>
      </c>
      <c r="Q32" s="66">
        <f t="shared" si="6"/>
        <v>21.389116202945996</v>
      </c>
    </row>
    <row r="33" spans="1:17" ht="12.75">
      <c r="A33" s="66">
        <f t="shared" si="0"/>
        <v>17</v>
      </c>
      <c r="B33" s="69">
        <f t="shared" si="1"/>
        <v>3.7596153846153846</v>
      </c>
      <c r="C33" s="67">
        <f t="shared" si="2"/>
        <v>0</v>
      </c>
      <c r="D33" s="206">
        <f>B2</f>
        <v>187.33333333333331</v>
      </c>
      <c r="E33" s="65">
        <f t="shared" si="7"/>
        <v>14.148632292423141</v>
      </c>
      <c r="F33" s="67">
        <f t="shared" si="8"/>
        <v>4.255319148936171</v>
      </c>
      <c r="G33" s="65">
        <f t="shared" si="9"/>
        <v>4.255319148936171</v>
      </c>
      <c r="H33" s="67">
        <f t="shared" si="3"/>
        <v>4.255319148936171</v>
      </c>
      <c r="I33" s="68">
        <f t="shared" si="10"/>
        <v>3.8413461538461496E-4</v>
      </c>
      <c r="J33" s="75">
        <f t="shared" si="15"/>
        <v>8.8350961538461517E-3</v>
      </c>
      <c r="K33" s="200">
        <f t="shared" si="11"/>
        <v>8.8350961538461519</v>
      </c>
      <c r="L33" s="157">
        <f t="shared" si="12"/>
        <v>1</v>
      </c>
      <c r="M33" s="66">
        <f t="shared" si="4"/>
        <v>0.707431614621157</v>
      </c>
      <c r="N33" s="66">
        <f t="shared" si="16"/>
        <v>2.1642936390532524E-2</v>
      </c>
      <c r="O33" s="66">
        <f t="shared" si="14"/>
        <v>56.342062193126033</v>
      </c>
      <c r="P33" s="66">
        <f t="shared" si="5"/>
        <v>112.68412438625207</v>
      </c>
      <c r="Q33" s="66">
        <f t="shared" si="6"/>
        <v>21.128273322422263</v>
      </c>
    </row>
    <row r="34" spans="1:17" ht="12.75">
      <c r="A34" s="66">
        <f t="shared" si="0"/>
        <v>17</v>
      </c>
      <c r="B34" s="69">
        <f t="shared" si="1"/>
        <v>3.9230769230769234</v>
      </c>
      <c r="C34" s="67">
        <f t="shared" si="2"/>
        <v>0</v>
      </c>
      <c r="D34" s="206">
        <f>B2</f>
        <v>187.33333333333331</v>
      </c>
      <c r="E34" s="65">
        <f t="shared" si="7"/>
        <v>14.32549019607843</v>
      </c>
      <c r="F34" s="67">
        <f t="shared" si="8"/>
        <v>4.255319148936171</v>
      </c>
      <c r="G34" s="65">
        <f t="shared" si="9"/>
        <v>4.255319148936171</v>
      </c>
      <c r="H34" s="67">
        <f t="shared" si="3"/>
        <v>4.255319148936171</v>
      </c>
      <c r="I34" s="68">
        <f t="shared" si="10"/>
        <v>3.8413461538461605E-4</v>
      </c>
      <c r="J34" s="75">
        <f t="shared" si="15"/>
        <v>9.2192307692307678E-3</v>
      </c>
      <c r="K34" s="200">
        <f t="shared" si="11"/>
        <v>9.2192307692307676</v>
      </c>
      <c r="L34" s="157">
        <f t="shared" si="12"/>
        <v>1</v>
      </c>
      <c r="M34" s="66">
        <f t="shared" si="4"/>
        <v>0.7162745098039216</v>
      </c>
      <c r="N34" s="66">
        <f t="shared" si="16"/>
        <v>2.1375739644970457E-2</v>
      </c>
      <c r="O34" s="66">
        <f t="shared" si="14"/>
        <v>55.64648117839608</v>
      </c>
      <c r="P34" s="66">
        <f t="shared" si="5"/>
        <v>111.29296235679216</v>
      </c>
      <c r="Q34" s="66">
        <f t="shared" si="6"/>
        <v>20.867430441898531</v>
      </c>
    </row>
    <row r="35" spans="1:17" ht="12.75">
      <c r="A35" s="66">
        <f t="shared" si="0"/>
        <v>17</v>
      </c>
      <c r="B35" s="69">
        <f t="shared" si="1"/>
        <v>4.0865384615384617</v>
      </c>
      <c r="C35" s="67">
        <f t="shared" si="2"/>
        <v>0</v>
      </c>
      <c r="D35" s="206">
        <f>B2</f>
        <v>187.33333333333331</v>
      </c>
      <c r="E35" s="65">
        <f t="shared" si="7"/>
        <v>14.506825515016132</v>
      </c>
      <c r="F35" s="67">
        <f t="shared" si="8"/>
        <v>4.255319148936171</v>
      </c>
      <c r="G35" s="65">
        <f t="shared" si="9"/>
        <v>4.255319148936171</v>
      </c>
      <c r="H35" s="67">
        <f t="shared" si="3"/>
        <v>4.255319148936171</v>
      </c>
      <c r="I35" s="68">
        <f t="shared" si="10"/>
        <v>3.8413461538461496E-4</v>
      </c>
      <c r="J35" s="75">
        <f t="shared" si="15"/>
        <v>9.6033653846153821E-3</v>
      </c>
      <c r="K35" s="200">
        <f t="shared" si="11"/>
        <v>9.6033653846153815</v>
      </c>
      <c r="L35" s="157">
        <f t="shared" si="12"/>
        <v>1</v>
      </c>
      <c r="M35" s="66">
        <f t="shared" si="4"/>
        <v>0.72534127575080665</v>
      </c>
      <c r="N35" s="66">
        <f t="shared" si="16"/>
        <v>2.1108542899408268E-2</v>
      </c>
      <c r="O35" s="66">
        <f t="shared" si="14"/>
        <v>54.950900163666134</v>
      </c>
      <c r="P35" s="66">
        <f t="shared" si="5"/>
        <v>109.90180032733227</v>
      </c>
      <c r="Q35" s="66">
        <f t="shared" si="6"/>
        <v>20.606587561374802</v>
      </c>
    </row>
    <row r="36" spans="1:17" ht="12.75">
      <c r="A36" s="66">
        <f t="shared" si="0"/>
        <v>17</v>
      </c>
      <c r="B36" s="69">
        <f t="shared" si="1"/>
        <v>4.25</v>
      </c>
      <c r="C36" s="67">
        <f t="shared" si="2"/>
        <v>0</v>
      </c>
      <c r="D36" s="206">
        <f>B2</f>
        <v>187.33333333333331</v>
      </c>
      <c r="E36" s="65">
        <f t="shared" si="7"/>
        <v>14.692810457516339</v>
      </c>
      <c r="F36" s="67">
        <f t="shared" si="8"/>
        <v>4.255319148936171</v>
      </c>
      <c r="G36" s="65">
        <f t="shared" si="9"/>
        <v>4.255319148936171</v>
      </c>
      <c r="H36" s="67">
        <f t="shared" si="3"/>
        <v>4.255319148936171</v>
      </c>
      <c r="I36" s="68">
        <f t="shared" si="10"/>
        <v>3.8413461538461496E-4</v>
      </c>
      <c r="J36" s="75">
        <f t="shared" si="15"/>
        <v>9.9874999999999964E-3</v>
      </c>
      <c r="K36" s="200">
        <f t="shared" si="11"/>
        <v>9.9874999999999972</v>
      </c>
      <c r="L36" s="157">
        <f t="shared" si="12"/>
        <v>1</v>
      </c>
      <c r="M36" s="66">
        <f t="shared" si="4"/>
        <v>0.73464052287581705</v>
      </c>
      <c r="N36" s="66">
        <f t="shared" si="16"/>
        <v>2.0841346153846137E-2</v>
      </c>
      <c r="O36" s="66">
        <f t="shared" si="14"/>
        <v>54.255319148936181</v>
      </c>
      <c r="P36" s="66">
        <f t="shared" si="5"/>
        <v>108.51063829787236</v>
      </c>
      <c r="Q36" s="66">
        <f t="shared" si="6"/>
        <v>20.34574468085107</v>
      </c>
    </row>
    <row r="37" spans="1:17" ht="12.75">
      <c r="A37" s="66">
        <f t="shared" si="0"/>
        <v>17</v>
      </c>
      <c r="B37" s="69">
        <f t="shared" si="1"/>
        <v>4.4134615384615392</v>
      </c>
      <c r="C37" s="67">
        <f t="shared" si="2"/>
        <v>0</v>
      </c>
      <c r="D37" s="206">
        <f>B2</f>
        <v>187.33333333333331</v>
      </c>
      <c r="E37" s="65">
        <f t="shared" si="7"/>
        <v>14.883626177743825</v>
      </c>
      <c r="F37" s="67">
        <f t="shared" si="8"/>
        <v>4.255319148936171</v>
      </c>
      <c r="G37" s="65">
        <f t="shared" si="9"/>
        <v>4.255319148936171</v>
      </c>
      <c r="H37" s="67">
        <f t="shared" si="3"/>
        <v>4.255319148936171</v>
      </c>
      <c r="I37" s="68">
        <f t="shared" si="10"/>
        <v>3.8413461538461708E-4</v>
      </c>
      <c r="J37" s="75">
        <f t="shared" si="15"/>
        <v>1.0371634615384614E-2</v>
      </c>
      <c r="K37" s="200">
        <f t="shared" si="11"/>
        <v>10.371634615384615</v>
      </c>
      <c r="L37" s="157">
        <f t="shared" si="12"/>
        <v>1</v>
      </c>
      <c r="M37" s="66">
        <f t="shared" si="4"/>
        <v>0.74418130888719125</v>
      </c>
      <c r="N37" s="66">
        <f t="shared" si="16"/>
        <v>2.0574149408284115E-2</v>
      </c>
      <c r="O37" s="66">
        <f t="shared" si="14"/>
        <v>53.559738134206221</v>
      </c>
      <c r="P37" s="66">
        <f t="shared" si="5"/>
        <v>107.11947626841244</v>
      </c>
      <c r="Q37" s="66">
        <f t="shared" si="6"/>
        <v>20.084901800327334</v>
      </c>
    </row>
    <row r="38" spans="1:17" ht="12.75">
      <c r="A38" s="66">
        <f t="shared" si="0"/>
        <v>17</v>
      </c>
      <c r="B38" s="69">
        <f t="shared" si="1"/>
        <v>4.5769230769230766</v>
      </c>
      <c r="C38" s="67">
        <f t="shared" si="2"/>
        <v>0</v>
      </c>
      <c r="D38" s="206">
        <f>B2</f>
        <v>187.33333333333331</v>
      </c>
      <c r="E38" s="65">
        <f t="shared" si="7"/>
        <v>15.079463364293083</v>
      </c>
      <c r="F38" s="67">
        <f t="shared" si="8"/>
        <v>4.255319148936171</v>
      </c>
      <c r="G38" s="65">
        <f t="shared" si="9"/>
        <v>4.255319148936171</v>
      </c>
      <c r="H38" s="67">
        <f t="shared" si="3"/>
        <v>4.255319148936171</v>
      </c>
      <c r="I38" s="68">
        <f t="shared" si="10"/>
        <v>3.841346153846129E-4</v>
      </c>
      <c r="J38" s="75">
        <f t="shared" si="15"/>
        <v>1.0755769230769227E-2</v>
      </c>
      <c r="K38" s="200">
        <f t="shared" si="11"/>
        <v>10.755769230769227</v>
      </c>
      <c r="L38" s="157">
        <f t="shared" si="12"/>
        <v>1</v>
      </c>
      <c r="M38" s="66">
        <f t="shared" si="4"/>
        <v>0.75397316821465421</v>
      </c>
      <c r="N38" s="66">
        <f t="shared" si="16"/>
        <v>2.0306952662721766E-2</v>
      </c>
      <c r="O38" s="66">
        <f t="shared" si="14"/>
        <v>52.864157119476282</v>
      </c>
      <c r="P38" s="66">
        <f t="shared" si="5"/>
        <v>105.72831423895256</v>
      </c>
      <c r="Q38" s="66">
        <f t="shared" si="6"/>
        <v>19.824058919803605</v>
      </c>
    </row>
    <row r="39" spans="1:17" ht="12.75">
      <c r="A39" s="66">
        <f t="shared" si="0"/>
        <v>17</v>
      </c>
      <c r="B39" s="69">
        <f t="shared" si="1"/>
        <v>4.7403846153846159</v>
      </c>
      <c r="C39" s="67">
        <f t="shared" si="2"/>
        <v>0</v>
      </c>
      <c r="D39" s="206">
        <f>B2</f>
        <v>187.33333333333331</v>
      </c>
      <c r="E39" s="65">
        <f t="shared" si="7"/>
        <v>15.280522875816994</v>
      </c>
      <c r="F39" s="67">
        <f t="shared" si="8"/>
        <v>4.255319148936171</v>
      </c>
      <c r="G39" s="65">
        <f t="shared" si="9"/>
        <v>4.255319148936171</v>
      </c>
      <c r="H39" s="67">
        <f t="shared" si="3"/>
        <v>4.255319148936171</v>
      </c>
      <c r="I39" s="68">
        <f t="shared" si="10"/>
        <v>3.8413461538461708E-4</v>
      </c>
      <c r="J39" s="75">
        <f t="shared" si="15"/>
        <v>1.1139903846153845E-2</v>
      </c>
      <c r="K39" s="200">
        <f t="shared" si="11"/>
        <v>11.139903846153844</v>
      </c>
      <c r="L39" s="157">
        <f t="shared" si="12"/>
        <v>1</v>
      </c>
      <c r="M39" s="66">
        <f t="shared" si="4"/>
        <v>0.76402614379084965</v>
      </c>
      <c r="N39" s="66">
        <f t="shared" si="16"/>
        <v>2.0039755917159854E-2</v>
      </c>
      <c r="O39" s="66">
        <f t="shared" si="14"/>
        <v>52.168576104746322</v>
      </c>
      <c r="P39" s="66">
        <f t="shared" si="5"/>
        <v>104.33715220949264</v>
      </c>
      <c r="Q39" s="66">
        <f t="shared" si="6"/>
        <v>19.563216039279872</v>
      </c>
    </row>
    <row r="40" spans="1:17" ht="12.75">
      <c r="A40" s="66">
        <f t="shared" si="0"/>
        <v>17</v>
      </c>
      <c r="B40" s="69">
        <f t="shared" si="1"/>
        <v>4.9038461538461533</v>
      </c>
      <c r="C40" s="67">
        <f t="shared" si="2"/>
        <v>0</v>
      </c>
      <c r="D40" s="206">
        <f>B2</f>
        <v>187.33333333333331</v>
      </c>
      <c r="E40" s="65">
        <f t="shared" si="7"/>
        <v>15.487016428192897</v>
      </c>
      <c r="F40" s="67">
        <f t="shared" si="8"/>
        <v>4.255319148936171</v>
      </c>
      <c r="G40" s="65">
        <f t="shared" si="9"/>
        <v>4.255319148936171</v>
      </c>
      <c r="H40" s="67">
        <f t="shared" si="3"/>
        <v>4.255319148936171</v>
      </c>
      <c r="I40" s="68">
        <f t="shared" si="10"/>
        <v>3.841346153846129E-4</v>
      </c>
      <c r="J40" s="75">
        <f t="shared" si="15"/>
        <v>1.1524038461538457E-2</v>
      </c>
      <c r="K40" s="200">
        <f t="shared" si="11"/>
        <v>11.524038461538456</v>
      </c>
      <c r="L40" s="157">
        <f t="shared" si="12"/>
        <v>1</v>
      </c>
      <c r="M40" s="66">
        <f t="shared" si="4"/>
        <v>0.77435082140964484</v>
      </c>
      <c r="N40" s="66">
        <f t="shared" si="16"/>
        <v>1.9772559171597509E-2</v>
      </c>
      <c r="O40" s="66">
        <f t="shared" si="14"/>
        <v>51.472995090016376</v>
      </c>
      <c r="P40" s="66">
        <f t="shared" si="5"/>
        <v>102.94599018003275</v>
      </c>
      <c r="Q40" s="66">
        <f t="shared" si="6"/>
        <v>19.302373158756144</v>
      </c>
    </row>
    <row r="41" spans="1:17" ht="12.75">
      <c r="A41" s="66">
        <f t="shared" si="0"/>
        <v>17</v>
      </c>
      <c r="B41" s="69">
        <f t="shared" si="1"/>
        <v>5.0673076923076925</v>
      </c>
      <c r="C41" s="67">
        <f t="shared" si="2"/>
        <v>0</v>
      </c>
      <c r="D41" s="206">
        <f>B2</f>
        <v>187.33333333333331</v>
      </c>
      <c r="E41" s="65">
        <f t="shared" si="7"/>
        <v>15.699167338168143</v>
      </c>
      <c r="F41" s="67">
        <f t="shared" si="8"/>
        <v>4.255319148936171</v>
      </c>
      <c r="G41" s="65">
        <f t="shared" si="9"/>
        <v>4.255319148936171</v>
      </c>
      <c r="H41" s="67">
        <f t="shared" si="3"/>
        <v>4.255319148936171</v>
      </c>
      <c r="I41" s="68">
        <f t="shared" si="10"/>
        <v>3.8413461538461708E-4</v>
      </c>
      <c r="J41" s="75">
        <f t="shared" si="15"/>
        <v>1.1908173076923075E-2</v>
      </c>
      <c r="K41" s="200">
        <f t="shared" si="11"/>
        <v>11.908173076923076</v>
      </c>
      <c r="L41" s="157">
        <f t="shared" si="12"/>
        <v>1</v>
      </c>
      <c r="M41" s="66">
        <f t="shared" si="4"/>
        <v>0.78495836690840715</v>
      </c>
      <c r="N41" s="66">
        <f t="shared" si="16"/>
        <v>1.9505362426035591E-2</v>
      </c>
      <c r="O41" s="66">
        <f t="shared" si="14"/>
        <v>50.777414075286423</v>
      </c>
      <c r="P41" s="66">
        <f t="shared" si="5"/>
        <v>101.55482815057285</v>
      </c>
      <c r="Q41" s="66">
        <f t="shared" si="6"/>
        <v>19.041530278232408</v>
      </c>
    </row>
    <row r="42" spans="1:17" ht="12.75">
      <c r="A42" s="66">
        <f t="shared" ref="A42:A73" si="17">VINMAX</f>
        <v>17</v>
      </c>
      <c r="B42" s="69">
        <f t="shared" ref="B42:B73" si="18">VINMAX*((ROW()-10)/104)</f>
        <v>5.2307692307692308</v>
      </c>
      <c r="C42" s="67">
        <f t="shared" ref="C42:C73" si="19">IF(B42&gt;=$H$2,IF($D$2="CC", $G$2, B42/$G$2), 0)</f>
        <v>0</v>
      </c>
      <c r="D42" s="206">
        <f>B2</f>
        <v>187.33333333333331</v>
      </c>
      <c r="E42" s="65">
        <f t="shared" si="7"/>
        <v>15.917211328976032</v>
      </c>
      <c r="F42" s="67">
        <f t="shared" ref="F42:F73" si="20">I_Cout_ss+C42</f>
        <v>4.255319148936171</v>
      </c>
      <c r="G42" s="65">
        <f t="shared" si="9"/>
        <v>4.255319148936171</v>
      </c>
      <c r="H42" s="67">
        <f t="shared" ref="H42:H73" si="21">G42-C42</f>
        <v>4.255319148936171</v>
      </c>
      <c r="I42" s="68">
        <f t="shared" si="10"/>
        <v>3.8413461538461496E-4</v>
      </c>
      <c r="J42" s="75">
        <f t="shared" si="15"/>
        <v>1.2292307692307689E-2</v>
      </c>
      <c r="K42" s="200">
        <f t="shared" si="11"/>
        <v>12.292307692307689</v>
      </c>
      <c r="L42" s="157">
        <f t="shared" si="12"/>
        <v>1</v>
      </c>
      <c r="M42" s="66">
        <f t="shared" ref="M42:M73" si="22">1/COUTMAX*(E42/2-C42)*1000</f>
        <v>0.79586056644880165</v>
      </c>
      <c r="N42" s="66">
        <f t="shared" si="16"/>
        <v>1.9238165680473356E-2</v>
      </c>
      <c r="O42" s="66">
        <f t="shared" si="14"/>
        <v>50.081833060556477</v>
      </c>
      <c r="P42" s="66">
        <f t="shared" ref="P42:P73" si="23">(A42-B42)*(I_Cout_ss*$Q$2+C42)</f>
        <v>100.16366612111295</v>
      </c>
      <c r="Q42" s="66">
        <f t="shared" ref="Q42:Q73" si="24">(A42-B42)*(I_Cout_ss*$R$2+C42)</f>
        <v>18.780687397708679</v>
      </c>
    </row>
    <row r="43" spans="1:17" ht="12.75">
      <c r="A43" s="66">
        <f t="shared" si="17"/>
        <v>17</v>
      </c>
      <c r="B43" s="69">
        <f t="shared" si="18"/>
        <v>5.3942307692307692</v>
      </c>
      <c r="C43" s="67">
        <f t="shared" si="19"/>
        <v>0</v>
      </c>
      <c r="D43" s="206">
        <f>B2</f>
        <v>187.33333333333331</v>
      </c>
      <c r="E43" s="65">
        <f t="shared" si="7"/>
        <v>16.141397404032034</v>
      </c>
      <c r="F43" s="67">
        <f t="shared" si="20"/>
        <v>4.255319148936171</v>
      </c>
      <c r="G43" s="65">
        <f t="shared" si="9"/>
        <v>4.255319148936171</v>
      </c>
      <c r="H43" s="67">
        <f t="shared" si="21"/>
        <v>4.255319148936171</v>
      </c>
      <c r="I43" s="68">
        <f t="shared" ref="I43:I74" si="25">(COUTMAX/1000000)*(B43-B42)/H43</f>
        <v>3.8413461538461496E-4</v>
      </c>
      <c r="J43" s="75">
        <f t="shared" si="15"/>
        <v>1.2676442307692303E-2</v>
      </c>
      <c r="K43" s="200">
        <f t="shared" si="11"/>
        <v>12.676442307692303</v>
      </c>
      <c r="L43" s="157">
        <f t="shared" si="12"/>
        <v>1</v>
      </c>
      <c r="M43" s="66">
        <f t="shared" si="22"/>
        <v>0.8070698702016017</v>
      </c>
      <c r="N43" s="66">
        <f t="shared" si="16"/>
        <v>1.8970968934911226E-2</v>
      </c>
      <c r="O43" s="66">
        <f t="shared" si="14"/>
        <v>49.386252045826517</v>
      </c>
      <c r="P43" s="66">
        <f t="shared" si="23"/>
        <v>98.772504091653033</v>
      </c>
      <c r="Q43" s="66">
        <f t="shared" si="24"/>
        <v>18.519844517184946</v>
      </c>
    </row>
    <row r="44" spans="1:17" ht="12.75">
      <c r="A44" s="66">
        <f t="shared" si="17"/>
        <v>17</v>
      </c>
      <c r="B44" s="69">
        <f t="shared" si="18"/>
        <v>5.5576923076923075</v>
      </c>
      <c r="C44" s="67">
        <f t="shared" si="19"/>
        <v>0</v>
      </c>
      <c r="D44" s="206">
        <f>B2</f>
        <v>187.33333333333331</v>
      </c>
      <c r="E44" s="65">
        <f t="shared" si="7"/>
        <v>16.371988795518202</v>
      </c>
      <c r="F44" s="67">
        <f t="shared" si="20"/>
        <v>4.255319148936171</v>
      </c>
      <c r="G44" s="65">
        <f t="shared" si="9"/>
        <v>4.255319148936171</v>
      </c>
      <c r="H44" s="67">
        <f t="shared" si="21"/>
        <v>4.255319148936171</v>
      </c>
      <c r="I44" s="68">
        <f t="shared" si="25"/>
        <v>3.8413461538461496E-4</v>
      </c>
      <c r="J44" s="75">
        <f t="shared" si="15"/>
        <v>1.3060576923076918E-2</v>
      </c>
      <c r="K44" s="200">
        <f t="shared" si="11"/>
        <v>13.060576923076917</v>
      </c>
      <c r="L44" s="157">
        <f t="shared" si="12"/>
        <v>1</v>
      </c>
      <c r="M44" s="66">
        <f t="shared" si="22"/>
        <v>0.81859943977591021</v>
      </c>
      <c r="N44" s="66">
        <f t="shared" si="16"/>
        <v>1.8703772189349099E-2</v>
      </c>
      <c r="O44" s="66">
        <f t="shared" si="14"/>
        <v>48.690671031096578</v>
      </c>
      <c r="P44" s="66">
        <f t="shared" si="23"/>
        <v>97.381342062193156</v>
      </c>
      <c r="Q44" s="66">
        <f t="shared" si="24"/>
        <v>18.259001636661218</v>
      </c>
    </row>
    <row r="45" spans="1:17" ht="12.75">
      <c r="A45" s="66">
        <f t="shared" si="17"/>
        <v>17</v>
      </c>
      <c r="B45" s="69">
        <f t="shared" si="18"/>
        <v>5.7211538461538467</v>
      </c>
      <c r="C45" s="67">
        <f t="shared" si="19"/>
        <v>0</v>
      </c>
      <c r="D45" s="206">
        <f>B2</f>
        <v>187.33333333333331</v>
      </c>
      <c r="E45" s="65">
        <f t="shared" si="7"/>
        <v>16.609263995453254</v>
      </c>
      <c r="F45" s="67">
        <f t="shared" si="20"/>
        <v>4.255319148936171</v>
      </c>
      <c r="G45" s="65">
        <f t="shared" si="9"/>
        <v>4.255319148936171</v>
      </c>
      <c r="H45" s="67">
        <f t="shared" si="21"/>
        <v>4.255319148936171</v>
      </c>
      <c r="I45" s="68">
        <f t="shared" si="25"/>
        <v>3.8413461538461708E-4</v>
      </c>
      <c r="J45" s="75">
        <f t="shared" si="15"/>
        <v>1.3444711538461536E-2</v>
      </c>
      <c r="K45" s="200">
        <f t="shared" si="11"/>
        <v>13.444711538461535</v>
      </c>
      <c r="L45" s="157">
        <f t="shared" si="12"/>
        <v>1</v>
      </c>
      <c r="M45" s="66">
        <f t="shared" si="22"/>
        <v>0.8304631997726627</v>
      </c>
      <c r="N45" s="66">
        <f t="shared" si="16"/>
        <v>1.8436575443787066E-2</v>
      </c>
      <c r="O45" s="66">
        <f t="shared" si="14"/>
        <v>47.995090016366618</v>
      </c>
      <c r="P45" s="66">
        <f t="shared" si="23"/>
        <v>95.990180032733235</v>
      </c>
      <c r="Q45" s="66">
        <f t="shared" si="24"/>
        <v>17.998158756137482</v>
      </c>
    </row>
    <row r="46" spans="1:17" ht="12.75">
      <c r="A46" s="66">
        <f t="shared" si="17"/>
        <v>17</v>
      </c>
      <c r="B46" s="69">
        <f t="shared" si="18"/>
        <v>5.8846153846153841</v>
      </c>
      <c r="C46" s="67">
        <f t="shared" si="19"/>
        <v>0</v>
      </c>
      <c r="D46" s="206">
        <f>B2</f>
        <v>187.33333333333331</v>
      </c>
      <c r="E46" s="65">
        <f t="shared" si="7"/>
        <v>16.853517877739328</v>
      </c>
      <c r="F46" s="67">
        <f t="shared" si="20"/>
        <v>4.255319148936171</v>
      </c>
      <c r="G46" s="65">
        <f t="shared" si="9"/>
        <v>4.255319148936171</v>
      </c>
      <c r="H46" s="67">
        <f t="shared" si="21"/>
        <v>4.255319148936171</v>
      </c>
      <c r="I46" s="68">
        <f t="shared" si="25"/>
        <v>3.841346153846129E-4</v>
      </c>
      <c r="J46" s="75">
        <f t="shared" si="15"/>
        <v>1.3828846153846148E-2</v>
      </c>
      <c r="K46" s="200">
        <f t="shared" si="11"/>
        <v>13.828846153846149</v>
      </c>
      <c r="L46" s="157">
        <f t="shared" si="12"/>
        <v>1</v>
      </c>
      <c r="M46" s="66">
        <f t="shared" si="22"/>
        <v>0.84267589388696651</v>
      </c>
      <c r="N46" s="66">
        <f t="shared" si="16"/>
        <v>1.8169378698224742E-2</v>
      </c>
      <c r="O46" s="66">
        <f t="shared" si="14"/>
        <v>47.299509001636679</v>
      </c>
      <c r="P46" s="66">
        <f t="shared" si="23"/>
        <v>94.599018003273358</v>
      </c>
      <c r="Q46" s="66">
        <f t="shared" si="24"/>
        <v>17.737315875613756</v>
      </c>
    </row>
    <row r="47" spans="1:17" ht="12.75">
      <c r="A47" s="66">
        <f t="shared" si="17"/>
        <v>17</v>
      </c>
      <c r="B47" s="69">
        <f t="shared" si="18"/>
        <v>6.0480769230769234</v>
      </c>
      <c r="C47" s="67">
        <f t="shared" si="19"/>
        <v>0</v>
      </c>
      <c r="D47" s="206">
        <f>B2</f>
        <v>187.33333333333331</v>
      </c>
      <c r="E47" s="65">
        <f t="shared" si="7"/>
        <v>17.105062920690663</v>
      </c>
      <c r="F47" s="67">
        <f t="shared" si="20"/>
        <v>4.255319148936171</v>
      </c>
      <c r="G47" s="65">
        <f t="shared" si="9"/>
        <v>4.255319148936171</v>
      </c>
      <c r="H47" s="67">
        <f t="shared" si="21"/>
        <v>4.255319148936171</v>
      </c>
      <c r="I47" s="68">
        <f t="shared" si="25"/>
        <v>3.8413461538461708E-4</v>
      </c>
      <c r="J47" s="75">
        <f t="shared" si="15"/>
        <v>1.4212980769230766E-2</v>
      </c>
      <c r="K47" s="200">
        <f t="shared" si="11"/>
        <v>14.212980769230766</v>
      </c>
      <c r="L47" s="157">
        <f t="shared" si="12"/>
        <v>1</v>
      </c>
      <c r="M47" s="66">
        <f t="shared" si="22"/>
        <v>0.85525314603453328</v>
      </c>
      <c r="N47" s="66">
        <f t="shared" si="16"/>
        <v>1.7902181952662802E-2</v>
      </c>
      <c r="O47" s="66">
        <f t="shared" si="14"/>
        <v>46.603927986906719</v>
      </c>
      <c r="P47" s="66">
        <f t="shared" si="23"/>
        <v>93.207855973813437</v>
      </c>
      <c r="Q47" s="66">
        <f t="shared" si="24"/>
        <v>17.47647299509002</v>
      </c>
    </row>
    <row r="48" spans="1:17" ht="12.75">
      <c r="A48" s="66">
        <f t="shared" si="17"/>
        <v>17</v>
      </c>
      <c r="B48" s="69">
        <f t="shared" si="18"/>
        <v>6.2115384615384608</v>
      </c>
      <c r="C48" s="67">
        <f t="shared" si="19"/>
        <v>0</v>
      </c>
      <c r="D48" s="206">
        <f>B2</f>
        <v>187.33333333333331</v>
      </c>
      <c r="E48" s="65">
        <f t="shared" si="7"/>
        <v>17.333333333333332</v>
      </c>
      <c r="F48" s="67">
        <f t="shared" si="20"/>
        <v>4.255319148936171</v>
      </c>
      <c r="G48" s="65">
        <f t="shared" si="9"/>
        <v>4.255319148936171</v>
      </c>
      <c r="H48" s="67">
        <f t="shared" si="21"/>
        <v>4.255319148936171</v>
      </c>
      <c r="I48" s="68">
        <f t="shared" si="25"/>
        <v>3.841346153846129E-4</v>
      </c>
      <c r="J48" s="75">
        <f t="shared" si="15"/>
        <v>1.4597115384615379E-2</v>
      </c>
      <c r="K48" s="200">
        <f t="shared" si="11"/>
        <v>14.597115384615378</v>
      </c>
      <c r="L48" s="157">
        <f t="shared" si="12"/>
        <v>1</v>
      </c>
      <c r="M48" s="66">
        <f t="shared" si="22"/>
        <v>0.86666666666666659</v>
      </c>
      <c r="N48" s="66">
        <f t="shared" si="16"/>
        <v>1.7634985207100485E-2</v>
      </c>
      <c r="O48" s="66">
        <f t="shared" si="14"/>
        <v>45.908346972176773</v>
      </c>
      <c r="P48" s="66">
        <f t="shared" si="23"/>
        <v>91.816693944353545</v>
      </c>
      <c r="Q48" s="66">
        <f t="shared" si="24"/>
        <v>17.215630114566292</v>
      </c>
    </row>
    <row r="49" spans="1:17" ht="12.75">
      <c r="A49" s="66">
        <f t="shared" si="17"/>
        <v>17</v>
      </c>
      <c r="B49" s="69">
        <f t="shared" si="18"/>
        <v>6.375</v>
      </c>
      <c r="C49" s="67">
        <f t="shared" si="19"/>
        <v>0</v>
      </c>
      <c r="D49" s="206">
        <f>B2</f>
        <v>187.33333333333331</v>
      </c>
      <c r="E49" s="65">
        <f t="shared" si="7"/>
        <v>17.333333333333332</v>
      </c>
      <c r="F49" s="67">
        <f t="shared" si="20"/>
        <v>4.255319148936171</v>
      </c>
      <c r="G49" s="65">
        <f t="shared" si="9"/>
        <v>4.255319148936171</v>
      </c>
      <c r="H49" s="67">
        <f t="shared" si="21"/>
        <v>4.255319148936171</v>
      </c>
      <c r="I49" s="68">
        <f t="shared" si="25"/>
        <v>3.8413461538461708E-4</v>
      </c>
      <c r="J49" s="75">
        <f t="shared" si="15"/>
        <v>1.4981249999999996E-2</v>
      </c>
      <c r="K49" s="200">
        <f t="shared" si="11"/>
        <v>14.981249999999996</v>
      </c>
      <c r="L49" s="157">
        <f t="shared" si="12"/>
        <v>1</v>
      </c>
      <c r="M49" s="66">
        <f t="shared" si="22"/>
        <v>0.86666666666666659</v>
      </c>
      <c r="N49" s="66">
        <f t="shared" si="16"/>
        <v>1.7367788461538542E-2</v>
      </c>
      <c r="O49" s="66">
        <f t="shared" si="14"/>
        <v>45.21276595744682</v>
      </c>
      <c r="P49" s="66">
        <f t="shared" si="23"/>
        <v>90.425531914893639</v>
      </c>
      <c r="Q49" s="66">
        <f t="shared" si="24"/>
        <v>16.954787234042559</v>
      </c>
    </row>
    <row r="50" spans="1:17" ht="12.75">
      <c r="A50" s="66">
        <f t="shared" si="17"/>
        <v>17</v>
      </c>
      <c r="B50" s="69">
        <f t="shared" si="18"/>
        <v>6.5384615384615392</v>
      </c>
      <c r="C50" s="67">
        <f t="shared" si="19"/>
        <v>0</v>
      </c>
      <c r="D50" s="206">
        <f>B2</f>
        <v>187.33333333333331</v>
      </c>
      <c r="E50" s="65">
        <f t="shared" si="7"/>
        <v>17.333333333333332</v>
      </c>
      <c r="F50" s="67">
        <f t="shared" si="20"/>
        <v>4.255319148936171</v>
      </c>
      <c r="G50" s="65">
        <f t="shared" si="9"/>
        <v>4.255319148936171</v>
      </c>
      <c r="H50" s="67">
        <f t="shared" si="21"/>
        <v>4.255319148936171</v>
      </c>
      <c r="I50" s="68">
        <f t="shared" si="25"/>
        <v>3.8413461538461708E-4</v>
      </c>
      <c r="J50" s="75">
        <f t="shared" si="15"/>
        <v>1.5365384615384614E-2</v>
      </c>
      <c r="K50" s="200">
        <f t="shared" si="11"/>
        <v>15.365384615384613</v>
      </c>
      <c r="L50" s="157">
        <f t="shared" si="12"/>
        <v>1</v>
      </c>
      <c r="M50" s="66">
        <f t="shared" si="22"/>
        <v>0.86666666666666659</v>
      </c>
      <c r="N50" s="66">
        <f t="shared" si="16"/>
        <v>1.7100591715976408E-2</v>
      </c>
      <c r="O50" s="66">
        <f t="shared" si="14"/>
        <v>44.51718494271686</v>
      </c>
      <c r="P50" s="66">
        <f t="shared" si="23"/>
        <v>89.034369885433719</v>
      </c>
      <c r="Q50" s="66">
        <f t="shared" si="24"/>
        <v>16.693944353518823</v>
      </c>
    </row>
    <row r="51" spans="1:17" ht="12.75">
      <c r="A51" s="66">
        <f t="shared" si="17"/>
        <v>17</v>
      </c>
      <c r="B51" s="69">
        <f t="shared" si="18"/>
        <v>6.7019230769230766</v>
      </c>
      <c r="C51" s="67">
        <f t="shared" si="19"/>
        <v>0</v>
      </c>
      <c r="D51" s="206">
        <f>B2</f>
        <v>187.33333333333331</v>
      </c>
      <c r="E51" s="65">
        <f t="shared" si="7"/>
        <v>17.333333333333332</v>
      </c>
      <c r="F51" s="67">
        <f t="shared" si="20"/>
        <v>4.255319148936171</v>
      </c>
      <c r="G51" s="65">
        <f t="shared" si="9"/>
        <v>4.255319148936171</v>
      </c>
      <c r="H51" s="67">
        <f t="shared" si="21"/>
        <v>4.255319148936171</v>
      </c>
      <c r="I51" s="68">
        <f t="shared" si="25"/>
        <v>3.841346153846129E-4</v>
      </c>
      <c r="J51" s="75">
        <f t="shared" si="15"/>
        <v>1.5749519230769227E-2</v>
      </c>
      <c r="K51" s="200">
        <f t="shared" si="11"/>
        <v>15.749519230769227</v>
      </c>
      <c r="L51" s="157">
        <f t="shared" si="12"/>
        <v>1</v>
      </c>
      <c r="M51" s="66">
        <f t="shared" si="22"/>
        <v>0.86666666666666659</v>
      </c>
      <c r="N51" s="66">
        <f t="shared" si="16"/>
        <v>1.6833394970414094E-2</v>
      </c>
      <c r="O51" s="66">
        <f t="shared" si="14"/>
        <v>43.821603927986914</v>
      </c>
      <c r="P51" s="66">
        <f t="shared" si="23"/>
        <v>87.643207855973827</v>
      </c>
      <c r="Q51" s="66">
        <f t="shared" si="24"/>
        <v>16.433101472995094</v>
      </c>
    </row>
    <row r="52" spans="1:17" ht="12.75">
      <c r="A52" s="66">
        <f t="shared" si="17"/>
        <v>17</v>
      </c>
      <c r="B52" s="69">
        <f t="shared" si="18"/>
        <v>6.8653846153846159</v>
      </c>
      <c r="C52" s="67">
        <f t="shared" si="19"/>
        <v>0</v>
      </c>
      <c r="D52" s="206">
        <f>B2</f>
        <v>187.33333333333331</v>
      </c>
      <c r="E52" s="65">
        <f t="shared" si="7"/>
        <v>17.333333333333332</v>
      </c>
      <c r="F52" s="67">
        <f t="shared" si="20"/>
        <v>4.255319148936171</v>
      </c>
      <c r="G52" s="65">
        <f t="shared" si="9"/>
        <v>4.255319148936171</v>
      </c>
      <c r="H52" s="67">
        <f t="shared" si="21"/>
        <v>4.255319148936171</v>
      </c>
      <c r="I52" s="68">
        <f t="shared" si="25"/>
        <v>3.8413461538461708E-4</v>
      </c>
      <c r="J52" s="75">
        <f t="shared" si="15"/>
        <v>1.6133653846153843E-2</v>
      </c>
      <c r="K52" s="200">
        <f t="shared" si="11"/>
        <v>16.133653846153841</v>
      </c>
      <c r="L52" s="157">
        <f t="shared" si="12"/>
        <v>1</v>
      </c>
      <c r="M52" s="66">
        <f t="shared" si="22"/>
        <v>0.86666666666666659</v>
      </c>
      <c r="N52" s="66">
        <f t="shared" si="16"/>
        <v>1.6566198224852145E-2</v>
      </c>
      <c r="O52" s="66">
        <f t="shared" si="14"/>
        <v>43.126022913256961</v>
      </c>
      <c r="P52" s="66">
        <f t="shared" si="23"/>
        <v>86.252045826513921</v>
      </c>
      <c r="Q52" s="66">
        <f t="shared" si="24"/>
        <v>16.172258592471362</v>
      </c>
    </row>
    <row r="53" spans="1:17" ht="12.75">
      <c r="A53" s="66">
        <f t="shared" si="17"/>
        <v>17</v>
      </c>
      <c r="B53" s="69">
        <f t="shared" si="18"/>
        <v>7.0288461538461533</v>
      </c>
      <c r="C53" s="67">
        <f t="shared" si="19"/>
        <v>0</v>
      </c>
      <c r="D53" s="206">
        <f>B2</f>
        <v>187.33333333333331</v>
      </c>
      <c r="E53" s="65">
        <f t="shared" si="7"/>
        <v>17.333333333333332</v>
      </c>
      <c r="F53" s="67">
        <f t="shared" si="20"/>
        <v>4.255319148936171</v>
      </c>
      <c r="G53" s="65">
        <f t="shared" si="9"/>
        <v>4.255319148936171</v>
      </c>
      <c r="H53" s="67">
        <f t="shared" si="21"/>
        <v>4.255319148936171</v>
      </c>
      <c r="I53" s="68">
        <f t="shared" si="25"/>
        <v>3.841346153846129E-4</v>
      </c>
      <c r="J53" s="75">
        <f t="shared" si="15"/>
        <v>1.6517788461538455E-2</v>
      </c>
      <c r="K53" s="200">
        <f t="shared" si="11"/>
        <v>16.517788461538455</v>
      </c>
      <c r="L53" s="157">
        <f t="shared" si="12"/>
        <v>1</v>
      </c>
      <c r="M53" s="66">
        <f t="shared" si="22"/>
        <v>0.86666666666666659</v>
      </c>
      <c r="N53" s="66">
        <f t="shared" si="16"/>
        <v>1.6299001479289841E-2</v>
      </c>
      <c r="O53" s="66">
        <f t="shared" si="14"/>
        <v>42.430441898527015</v>
      </c>
      <c r="P53" s="66">
        <f t="shared" si="23"/>
        <v>84.860883797054029</v>
      </c>
      <c r="Q53" s="66">
        <f t="shared" si="24"/>
        <v>15.911415711947631</v>
      </c>
    </row>
    <row r="54" spans="1:17" ht="12.75">
      <c r="A54" s="66">
        <f t="shared" si="17"/>
        <v>17</v>
      </c>
      <c r="B54" s="69">
        <f t="shared" si="18"/>
        <v>7.1923076923076925</v>
      </c>
      <c r="C54" s="67">
        <f t="shared" si="19"/>
        <v>0</v>
      </c>
      <c r="D54" s="206">
        <f>B2</f>
        <v>187.33333333333331</v>
      </c>
      <c r="E54" s="65">
        <f t="shared" si="7"/>
        <v>17.333333333333332</v>
      </c>
      <c r="F54" s="67">
        <f t="shared" si="20"/>
        <v>4.255319148936171</v>
      </c>
      <c r="G54" s="65">
        <f t="shared" si="9"/>
        <v>4.255319148936171</v>
      </c>
      <c r="H54" s="67">
        <f t="shared" si="21"/>
        <v>4.255319148936171</v>
      </c>
      <c r="I54" s="68">
        <f t="shared" si="25"/>
        <v>3.8413461538461708E-4</v>
      </c>
      <c r="J54" s="75">
        <f t="shared" si="15"/>
        <v>1.6901923076923071E-2</v>
      </c>
      <c r="K54" s="200">
        <f t="shared" si="11"/>
        <v>16.901923076923072</v>
      </c>
      <c r="L54" s="157">
        <f t="shared" si="12"/>
        <v>1</v>
      </c>
      <c r="M54" s="66">
        <f t="shared" si="22"/>
        <v>0.86666666666666659</v>
      </c>
      <c r="N54" s="66">
        <f t="shared" si="16"/>
        <v>1.6031804733727884E-2</v>
      </c>
      <c r="O54" s="66">
        <f t="shared" si="14"/>
        <v>41.734860883797054</v>
      </c>
      <c r="P54" s="66">
        <f t="shared" si="23"/>
        <v>83.469721767594109</v>
      </c>
      <c r="Q54" s="66">
        <f t="shared" si="24"/>
        <v>15.650572831423897</v>
      </c>
    </row>
    <row r="55" spans="1:17" ht="12.75">
      <c r="A55" s="66">
        <f t="shared" si="17"/>
        <v>17</v>
      </c>
      <c r="B55" s="69">
        <f t="shared" si="18"/>
        <v>7.3557692307692308</v>
      </c>
      <c r="C55" s="67">
        <f t="shared" si="19"/>
        <v>0</v>
      </c>
      <c r="D55" s="206">
        <f>B2</f>
        <v>187.33333333333331</v>
      </c>
      <c r="E55" s="65">
        <f t="shared" si="7"/>
        <v>17.333333333333332</v>
      </c>
      <c r="F55" s="67">
        <f t="shared" si="20"/>
        <v>4.255319148936171</v>
      </c>
      <c r="G55" s="65">
        <f t="shared" si="9"/>
        <v>4.255319148936171</v>
      </c>
      <c r="H55" s="67">
        <f t="shared" si="21"/>
        <v>4.255319148936171</v>
      </c>
      <c r="I55" s="68">
        <f t="shared" si="25"/>
        <v>3.8413461538461496E-4</v>
      </c>
      <c r="J55" s="75">
        <f t="shared" si="15"/>
        <v>1.7286057692307687E-2</v>
      </c>
      <c r="K55" s="200">
        <f t="shared" si="11"/>
        <v>17.286057692307686</v>
      </c>
      <c r="L55" s="157">
        <f t="shared" si="12"/>
        <v>1</v>
      </c>
      <c r="M55" s="66">
        <f t="shared" si="22"/>
        <v>0.86666666666666659</v>
      </c>
      <c r="N55" s="66">
        <f t="shared" si="16"/>
        <v>1.5764607988165667E-2</v>
      </c>
      <c r="O55" s="66">
        <f t="shared" si="14"/>
        <v>41.039279869067116</v>
      </c>
      <c r="P55" s="66">
        <f t="shared" si="23"/>
        <v>82.078559738134231</v>
      </c>
      <c r="Q55" s="66">
        <f t="shared" si="24"/>
        <v>15.389729950900168</v>
      </c>
    </row>
    <row r="56" spans="1:17" ht="12.75">
      <c r="A56" s="66">
        <f t="shared" si="17"/>
        <v>17</v>
      </c>
      <c r="B56" s="69">
        <f t="shared" si="18"/>
        <v>7.5192307692307692</v>
      </c>
      <c r="C56" s="67">
        <f t="shared" si="19"/>
        <v>0</v>
      </c>
      <c r="D56" s="206">
        <f>B2</f>
        <v>187.33333333333331</v>
      </c>
      <c r="E56" s="65">
        <f t="shared" si="7"/>
        <v>17.333333333333332</v>
      </c>
      <c r="F56" s="67">
        <f t="shared" si="20"/>
        <v>4.255319148936171</v>
      </c>
      <c r="G56" s="65">
        <f t="shared" si="9"/>
        <v>4.255319148936171</v>
      </c>
      <c r="H56" s="67">
        <f t="shared" si="21"/>
        <v>4.255319148936171</v>
      </c>
      <c r="I56" s="68">
        <f t="shared" si="25"/>
        <v>3.8413461538461496E-4</v>
      </c>
      <c r="J56" s="75">
        <f t="shared" si="15"/>
        <v>1.7670192307692303E-2</v>
      </c>
      <c r="K56" s="200">
        <f t="shared" si="11"/>
        <v>17.670192307692304</v>
      </c>
      <c r="L56" s="157">
        <f t="shared" si="12"/>
        <v>1</v>
      </c>
      <c r="M56" s="66">
        <f t="shared" si="22"/>
        <v>0.86666666666666659</v>
      </c>
      <c r="N56" s="66">
        <f t="shared" si="16"/>
        <v>1.5497411242603535E-2</v>
      </c>
      <c r="O56" s="66">
        <f t="shared" si="14"/>
        <v>40.343698854337156</v>
      </c>
      <c r="P56" s="66">
        <f t="shared" si="23"/>
        <v>80.687397708674311</v>
      </c>
      <c r="Q56" s="66">
        <f t="shared" si="24"/>
        <v>15.128887070376434</v>
      </c>
    </row>
    <row r="57" spans="1:17" ht="12.75">
      <c r="A57" s="66">
        <f t="shared" si="17"/>
        <v>17</v>
      </c>
      <c r="B57" s="69">
        <f t="shared" si="18"/>
        <v>7.6826923076923075</v>
      </c>
      <c r="C57" s="67">
        <f t="shared" si="19"/>
        <v>0</v>
      </c>
      <c r="D57" s="206">
        <f>B2</f>
        <v>187.33333333333331</v>
      </c>
      <c r="E57" s="65">
        <f t="shared" si="7"/>
        <v>17.333333333333332</v>
      </c>
      <c r="F57" s="67">
        <f t="shared" si="20"/>
        <v>4.255319148936171</v>
      </c>
      <c r="G57" s="65">
        <f t="shared" si="9"/>
        <v>4.255319148936171</v>
      </c>
      <c r="H57" s="67">
        <f t="shared" si="21"/>
        <v>4.255319148936171</v>
      </c>
      <c r="I57" s="68">
        <f t="shared" si="25"/>
        <v>3.8413461538461496E-4</v>
      </c>
      <c r="J57" s="75">
        <f t="shared" si="15"/>
        <v>1.8054326923076919E-2</v>
      </c>
      <c r="K57" s="200">
        <f t="shared" si="11"/>
        <v>18.054326923076921</v>
      </c>
      <c r="L57" s="157">
        <f t="shared" si="12"/>
        <v>1</v>
      </c>
      <c r="M57" s="66">
        <f t="shared" si="22"/>
        <v>0.86666666666666659</v>
      </c>
      <c r="N57" s="66">
        <f t="shared" si="16"/>
        <v>1.5230214497041409E-2</v>
      </c>
      <c r="O57" s="66">
        <f t="shared" si="14"/>
        <v>39.648117839607217</v>
      </c>
      <c r="P57" s="66">
        <f t="shared" si="23"/>
        <v>79.296235679214433</v>
      </c>
      <c r="Q57" s="66">
        <f t="shared" si="24"/>
        <v>14.868044189852705</v>
      </c>
    </row>
    <row r="58" spans="1:17" ht="12.75">
      <c r="A58" s="66">
        <f t="shared" si="17"/>
        <v>17</v>
      </c>
      <c r="B58" s="69">
        <f t="shared" si="18"/>
        <v>7.8461538461538467</v>
      </c>
      <c r="C58" s="67">
        <f t="shared" si="19"/>
        <v>0</v>
      </c>
      <c r="D58" s="206">
        <f>B2</f>
        <v>187.33333333333331</v>
      </c>
      <c r="E58" s="65">
        <f t="shared" si="7"/>
        <v>17.333333333333332</v>
      </c>
      <c r="F58" s="67">
        <f t="shared" si="20"/>
        <v>4.255319148936171</v>
      </c>
      <c r="G58" s="65">
        <f t="shared" si="9"/>
        <v>4.255319148936171</v>
      </c>
      <c r="H58" s="67">
        <f t="shared" si="21"/>
        <v>4.255319148936171</v>
      </c>
      <c r="I58" s="68">
        <f t="shared" si="25"/>
        <v>3.8413461538461708E-4</v>
      </c>
      <c r="J58" s="75">
        <f t="shared" si="15"/>
        <v>1.8438461538461536E-2</v>
      </c>
      <c r="K58" s="200">
        <f t="shared" si="11"/>
        <v>18.438461538461535</v>
      </c>
      <c r="L58" s="157">
        <f t="shared" si="12"/>
        <v>1</v>
      </c>
      <c r="M58" s="66">
        <f t="shared" si="22"/>
        <v>0.86666666666666659</v>
      </c>
      <c r="N58" s="66">
        <f t="shared" si="16"/>
        <v>1.4963017751479358E-2</v>
      </c>
      <c r="O58" s="66">
        <f t="shared" si="14"/>
        <v>38.952536824877257</v>
      </c>
      <c r="P58" s="66">
        <f t="shared" si="23"/>
        <v>77.905073649754513</v>
      </c>
      <c r="Q58" s="66">
        <f t="shared" si="24"/>
        <v>14.607201309328971</v>
      </c>
    </row>
    <row r="59" spans="1:17" ht="12.75">
      <c r="A59" s="66">
        <f t="shared" si="17"/>
        <v>17</v>
      </c>
      <c r="B59" s="69">
        <f t="shared" si="18"/>
        <v>8.009615384615385</v>
      </c>
      <c r="C59" s="67">
        <f t="shared" si="19"/>
        <v>0</v>
      </c>
      <c r="D59" s="206">
        <f>B2</f>
        <v>187.33333333333331</v>
      </c>
      <c r="E59" s="65">
        <f t="shared" si="7"/>
        <v>17.333333333333332</v>
      </c>
      <c r="F59" s="67">
        <f t="shared" si="20"/>
        <v>4.255319148936171</v>
      </c>
      <c r="G59" s="65">
        <f t="shared" si="9"/>
        <v>4.255319148936171</v>
      </c>
      <c r="H59" s="67">
        <f t="shared" si="21"/>
        <v>4.255319148936171</v>
      </c>
      <c r="I59" s="68">
        <f t="shared" si="25"/>
        <v>3.8413461538461496E-4</v>
      </c>
      <c r="J59" s="75">
        <f t="shared" si="15"/>
        <v>1.8822596153846152E-2</v>
      </c>
      <c r="K59" s="200">
        <f t="shared" si="11"/>
        <v>18.822596153846153</v>
      </c>
      <c r="L59" s="157">
        <f t="shared" si="12"/>
        <v>1</v>
      </c>
      <c r="M59" s="66">
        <f t="shared" si="22"/>
        <v>0.86666666666666659</v>
      </c>
      <c r="N59" s="66">
        <f t="shared" si="16"/>
        <v>1.4695821005917147E-2</v>
      </c>
      <c r="O59" s="66">
        <f t="shared" si="14"/>
        <v>38.256955810147304</v>
      </c>
      <c r="P59" s="66">
        <f t="shared" si="23"/>
        <v>76.513911620294607</v>
      </c>
      <c r="Q59" s="66">
        <f t="shared" si="24"/>
        <v>14.346358428805241</v>
      </c>
    </row>
    <row r="60" spans="1:17" ht="12.75">
      <c r="A60" s="66">
        <f t="shared" si="17"/>
        <v>17</v>
      </c>
      <c r="B60" s="69">
        <f t="shared" si="18"/>
        <v>8.1730769230769234</v>
      </c>
      <c r="C60" s="67">
        <f t="shared" si="19"/>
        <v>0</v>
      </c>
      <c r="D60" s="206">
        <f>B2</f>
        <v>187.33333333333331</v>
      </c>
      <c r="E60" s="65">
        <f t="shared" si="7"/>
        <v>17.333333333333332</v>
      </c>
      <c r="F60" s="67">
        <f t="shared" si="20"/>
        <v>4.255319148936171</v>
      </c>
      <c r="G60" s="65">
        <f t="shared" si="9"/>
        <v>4.255319148936171</v>
      </c>
      <c r="H60" s="67">
        <f t="shared" si="21"/>
        <v>4.255319148936171</v>
      </c>
      <c r="I60" s="68">
        <f t="shared" si="25"/>
        <v>3.8413461538461496E-4</v>
      </c>
      <c r="J60" s="75">
        <f t="shared" si="15"/>
        <v>1.9206730769230768E-2</v>
      </c>
      <c r="K60" s="200">
        <f t="shared" si="11"/>
        <v>19.206730769230766</v>
      </c>
      <c r="L60" s="157">
        <f t="shared" si="12"/>
        <v>1</v>
      </c>
      <c r="M60" s="66">
        <f t="shared" si="22"/>
        <v>0.86666666666666659</v>
      </c>
      <c r="N60" s="66">
        <f t="shared" si="16"/>
        <v>1.4428624260355016E-2</v>
      </c>
      <c r="O60" s="66">
        <f t="shared" si="14"/>
        <v>37.561374795417358</v>
      </c>
      <c r="P60" s="66">
        <f t="shared" si="23"/>
        <v>75.122749590834715</v>
      </c>
      <c r="Q60" s="66">
        <f t="shared" si="24"/>
        <v>14.085515548281508</v>
      </c>
    </row>
    <row r="61" spans="1:17" ht="12.75">
      <c r="A61" s="66">
        <f t="shared" si="17"/>
        <v>17</v>
      </c>
      <c r="B61" s="69">
        <f t="shared" si="18"/>
        <v>8.3365384615384617</v>
      </c>
      <c r="C61" s="67">
        <f t="shared" si="19"/>
        <v>0</v>
      </c>
      <c r="D61" s="206">
        <f>B2</f>
        <v>187.33333333333331</v>
      </c>
      <c r="E61" s="65">
        <f t="shared" si="7"/>
        <v>17.333333333333332</v>
      </c>
      <c r="F61" s="67">
        <f t="shared" si="20"/>
        <v>4.255319148936171</v>
      </c>
      <c r="G61" s="65">
        <f t="shared" si="9"/>
        <v>4.255319148936171</v>
      </c>
      <c r="H61" s="67">
        <f t="shared" si="21"/>
        <v>4.255319148936171</v>
      </c>
      <c r="I61" s="68">
        <f t="shared" si="25"/>
        <v>3.8413461538461496E-4</v>
      </c>
      <c r="J61" s="75">
        <f t="shared" si="15"/>
        <v>1.9590865384615384E-2</v>
      </c>
      <c r="K61" s="200">
        <f t="shared" si="11"/>
        <v>19.590865384615384</v>
      </c>
      <c r="L61" s="157">
        <f t="shared" si="12"/>
        <v>1</v>
      </c>
      <c r="M61" s="66">
        <f t="shared" si="22"/>
        <v>0.86666666666666659</v>
      </c>
      <c r="N61" s="66">
        <f>I61*G61*(A61-B61)</f>
        <v>1.4161427514792888E-2</v>
      </c>
      <c r="O61" s="66">
        <f t="shared" si="14"/>
        <v>36.865793780687405</v>
      </c>
      <c r="P61" s="66">
        <f t="shared" si="23"/>
        <v>73.731587561374809</v>
      </c>
      <c r="Q61" s="66">
        <f t="shared" si="24"/>
        <v>13.824672667757778</v>
      </c>
    </row>
    <row r="62" spans="1:17" ht="12.75">
      <c r="A62" s="66">
        <f t="shared" si="17"/>
        <v>17</v>
      </c>
      <c r="B62" s="69">
        <f t="shared" si="18"/>
        <v>8.5</v>
      </c>
      <c r="C62" s="67">
        <f t="shared" si="19"/>
        <v>0</v>
      </c>
      <c r="D62" s="206">
        <f>B2</f>
        <v>187.33333333333331</v>
      </c>
      <c r="E62" s="65">
        <f t="shared" si="7"/>
        <v>17.333333333333332</v>
      </c>
      <c r="F62" s="67">
        <f t="shared" si="20"/>
        <v>4.255319148936171</v>
      </c>
      <c r="G62" s="65">
        <f t="shared" si="9"/>
        <v>4.255319148936171</v>
      </c>
      <c r="H62" s="67">
        <f t="shared" si="21"/>
        <v>4.255319148936171</v>
      </c>
      <c r="I62" s="68">
        <f t="shared" si="25"/>
        <v>3.8413461538461496E-4</v>
      </c>
      <c r="J62" s="75">
        <f t="shared" si="15"/>
        <v>1.9975E-2</v>
      </c>
      <c r="K62" s="200">
        <f t="shared" si="11"/>
        <v>19.975000000000001</v>
      </c>
      <c r="L62" s="157">
        <f t="shared" si="12"/>
        <v>1</v>
      </c>
      <c r="M62" s="66">
        <f t="shared" si="22"/>
        <v>0.86666666666666659</v>
      </c>
      <c r="N62" s="66">
        <f t="shared" si="16"/>
        <v>1.3894230769230758E-2</v>
      </c>
      <c r="O62" s="66">
        <f t="shared" si="14"/>
        <v>36.170212765957451</v>
      </c>
      <c r="P62" s="66">
        <f t="shared" si="23"/>
        <v>72.340425531914903</v>
      </c>
      <c r="Q62" s="66">
        <f t="shared" si="24"/>
        <v>13.563829787234045</v>
      </c>
    </row>
    <row r="63" spans="1:17" ht="12.75">
      <c r="A63" s="66">
        <f t="shared" si="17"/>
        <v>17</v>
      </c>
      <c r="B63" s="69">
        <f t="shared" si="18"/>
        <v>8.6634615384615383</v>
      </c>
      <c r="C63" s="67">
        <f t="shared" si="19"/>
        <v>0</v>
      </c>
      <c r="D63" s="206">
        <f>B2</f>
        <v>187.33333333333331</v>
      </c>
      <c r="E63" s="65">
        <f t="shared" si="7"/>
        <v>17.333333333333332</v>
      </c>
      <c r="F63" s="67">
        <f t="shared" si="20"/>
        <v>4.255319148936171</v>
      </c>
      <c r="G63" s="65">
        <f t="shared" si="9"/>
        <v>4.255319148936171</v>
      </c>
      <c r="H63" s="67">
        <f t="shared" si="21"/>
        <v>4.255319148936171</v>
      </c>
      <c r="I63" s="68">
        <f t="shared" si="25"/>
        <v>3.8413461538461496E-4</v>
      </c>
      <c r="J63" s="75">
        <f t="shared" si="15"/>
        <v>2.0359134615384616E-2</v>
      </c>
      <c r="K63" s="200">
        <f t="shared" si="11"/>
        <v>20.359134615384615</v>
      </c>
      <c r="L63" s="157">
        <f t="shared" si="12"/>
        <v>1</v>
      </c>
      <c r="M63" s="66">
        <f t="shared" si="22"/>
        <v>0.86666666666666659</v>
      </c>
      <c r="N63" s="66">
        <f t="shared" si="16"/>
        <v>1.3627034023668627E-2</v>
      </c>
      <c r="O63" s="66">
        <f t="shared" si="14"/>
        <v>35.474631751227506</v>
      </c>
      <c r="P63" s="66">
        <f t="shared" si="23"/>
        <v>70.949263502455011</v>
      </c>
      <c r="Q63" s="66">
        <f t="shared" si="24"/>
        <v>13.302986906710315</v>
      </c>
    </row>
    <row r="64" spans="1:17" ht="12.75">
      <c r="A64" s="66">
        <f t="shared" si="17"/>
        <v>17</v>
      </c>
      <c r="B64" s="69">
        <f t="shared" si="18"/>
        <v>8.8269230769230784</v>
      </c>
      <c r="C64" s="67">
        <f t="shared" si="19"/>
        <v>0</v>
      </c>
      <c r="D64" s="206">
        <f>B2</f>
        <v>187.33333333333331</v>
      </c>
      <c r="E64" s="65">
        <f t="shared" si="7"/>
        <v>17.333333333333332</v>
      </c>
      <c r="F64" s="67">
        <f t="shared" si="20"/>
        <v>4.255319148936171</v>
      </c>
      <c r="G64" s="65">
        <f t="shared" si="9"/>
        <v>4.255319148936171</v>
      </c>
      <c r="H64" s="67">
        <f t="shared" si="21"/>
        <v>4.255319148936171</v>
      </c>
      <c r="I64" s="68">
        <f t="shared" si="25"/>
        <v>3.8413461538461919E-4</v>
      </c>
      <c r="J64" s="75">
        <f t="shared" si="15"/>
        <v>2.0743269230769235E-2</v>
      </c>
      <c r="K64" s="200">
        <f t="shared" si="11"/>
        <v>20.743269230769236</v>
      </c>
      <c r="L64" s="157">
        <f t="shared" si="12"/>
        <v>1</v>
      </c>
      <c r="M64" s="66">
        <f t="shared" si="22"/>
        <v>0.86666666666666659</v>
      </c>
      <c r="N64" s="66">
        <f t="shared" si="16"/>
        <v>1.3359837278106643E-2</v>
      </c>
      <c r="O64" s="66">
        <f t="shared" si="14"/>
        <v>34.779050736497545</v>
      </c>
      <c r="P64" s="66">
        <f t="shared" si="23"/>
        <v>69.558101472995091</v>
      </c>
      <c r="Q64" s="66">
        <f t="shared" si="24"/>
        <v>13.04214402618658</v>
      </c>
    </row>
    <row r="65" spans="1:17" ht="12.75">
      <c r="A65" s="66">
        <f t="shared" si="17"/>
        <v>17</v>
      </c>
      <c r="B65" s="69">
        <f t="shared" si="18"/>
        <v>8.990384615384615</v>
      </c>
      <c r="C65" s="67">
        <f t="shared" si="19"/>
        <v>0</v>
      </c>
      <c r="D65" s="206">
        <f>B2</f>
        <v>187.33333333333331</v>
      </c>
      <c r="E65" s="65">
        <f t="shared" si="7"/>
        <v>17.333333333333332</v>
      </c>
      <c r="F65" s="67">
        <f t="shared" si="20"/>
        <v>4.255319148936171</v>
      </c>
      <c r="G65" s="65">
        <f t="shared" si="9"/>
        <v>4.255319148936171</v>
      </c>
      <c r="H65" s="67">
        <f t="shared" si="21"/>
        <v>4.255319148936171</v>
      </c>
      <c r="I65" s="68">
        <f t="shared" si="25"/>
        <v>3.8413461538461079E-4</v>
      </c>
      <c r="J65" s="75">
        <f t="shared" si="15"/>
        <v>2.1127403846153844E-2</v>
      </c>
      <c r="K65" s="200">
        <f t="shared" si="11"/>
        <v>21.127403846153843</v>
      </c>
      <c r="L65" s="157">
        <f t="shared" si="12"/>
        <v>1</v>
      </c>
      <c r="M65" s="66">
        <f t="shared" si="22"/>
        <v>0.86666666666666659</v>
      </c>
      <c r="N65" s="66">
        <f t="shared" si="16"/>
        <v>1.3092640532544227E-2</v>
      </c>
      <c r="O65" s="66">
        <f t="shared" si="14"/>
        <v>34.083469721767599</v>
      </c>
      <c r="P65" s="66">
        <f t="shared" si="23"/>
        <v>68.166939443535199</v>
      </c>
      <c r="Q65" s="66">
        <f t="shared" si="24"/>
        <v>12.781301145662852</v>
      </c>
    </row>
    <row r="66" spans="1:17" ht="12.75">
      <c r="A66" s="66">
        <f t="shared" si="17"/>
        <v>17</v>
      </c>
      <c r="B66" s="69">
        <f t="shared" si="18"/>
        <v>9.1538461538461533</v>
      </c>
      <c r="C66" s="67">
        <f t="shared" si="19"/>
        <v>0</v>
      </c>
      <c r="D66" s="206">
        <f>B2</f>
        <v>187.33333333333331</v>
      </c>
      <c r="E66" s="65">
        <f t="shared" si="7"/>
        <v>17.333333333333332</v>
      </c>
      <c r="F66" s="67">
        <f t="shared" si="20"/>
        <v>4.255319148936171</v>
      </c>
      <c r="G66" s="65">
        <f t="shared" si="9"/>
        <v>4.255319148936171</v>
      </c>
      <c r="H66" s="67">
        <f t="shared" si="21"/>
        <v>4.255319148936171</v>
      </c>
      <c r="I66" s="68">
        <f t="shared" si="25"/>
        <v>3.8413461538461496E-4</v>
      </c>
      <c r="J66" s="75">
        <f t="shared" si="15"/>
        <v>2.151153846153846E-2</v>
      </c>
      <c r="K66" s="200">
        <f t="shared" si="11"/>
        <v>21.511538461538461</v>
      </c>
      <c r="L66" s="157">
        <f t="shared" si="12"/>
        <v>1</v>
      </c>
      <c r="M66" s="66">
        <f t="shared" si="22"/>
        <v>0.86666666666666659</v>
      </c>
      <c r="N66" s="66">
        <f t="shared" si="16"/>
        <v>1.2825443786982239E-2</v>
      </c>
      <c r="O66" s="66">
        <f t="shared" si="14"/>
        <v>33.387888707037654</v>
      </c>
      <c r="P66" s="66">
        <f t="shared" si="23"/>
        <v>66.775777414075307</v>
      </c>
      <c r="Q66" s="66">
        <f t="shared" si="24"/>
        <v>12.520458265139121</v>
      </c>
    </row>
    <row r="67" spans="1:17" ht="12.75">
      <c r="A67" s="66">
        <f t="shared" si="17"/>
        <v>17</v>
      </c>
      <c r="B67" s="69">
        <f t="shared" si="18"/>
        <v>9.3173076923076934</v>
      </c>
      <c r="C67" s="67">
        <f t="shared" si="19"/>
        <v>0</v>
      </c>
      <c r="D67" s="206">
        <f>B2</f>
        <v>187.33333333333331</v>
      </c>
      <c r="E67" s="65">
        <f t="shared" si="7"/>
        <v>17.333333333333332</v>
      </c>
      <c r="F67" s="67">
        <f t="shared" si="20"/>
        <v>4.255319148936171</v>
      </c>
      <c r="G67" s="65">
        <f t="shared" si="9"/>
        <v>4.255319148936171</v>
      </c>
      <c r="H67" s="67">
        <f t="shared" si="21"/>
        <v>4.255319148936171</v>
      </c>
      <c r="I67" s="68">
        <f t="shared" si="25"/>
        <v>3.8413461538461919E-4</v>
      </c>
      <c r="J67" s="75">
        <f t="shared" si="15"/>
        <v>2.189567307692308E-2</v>
      </c>
      <c r="K67" s="200">
        <f t="shared" si="11"/>
        <v>21.895673076923082</v>
      </c>
      <c r="L67" s="157">
        <f t="shared" si="12"/>
        <v>1</v>
      </c>
      <c r="M67" s="66">
        <f t="shared" si="22"/>
        <v>0.86666666666666659</v>
      </c>
      <c r="N67" s="66">
        <f t="shared" si="16"/>
        <v>1.2558247041420244E-2</v>
      </c>
      <c r="O67" s="66">
        <f t="shared" si="14"/>
        <v>32.692307692307693</v>
      </c>
      <c r="P67" s="66">
        <f t="shared" si="23"/>
        <v>65.384615384615387</v>
      </c>
      <c r="Q67" s="66">
        <f t="shared" si="24"/>
        <v>12.259615384615387</v>
      </c>
    </row>
    <row r="68" spans="1:17" ht="12.75">
      <c r="A68" s="66">
        <f t="shared" si="17"/>
        <v>17</v>
      </c>
      <c r="B68" s="69">
        <f t="shared" si="18"/>
        <v>9.4807692307692317</v>
      </c>
      <c r="C68" s="67">
        <f t="shared" si="19"/>
        <v>0</v>
      </c>
      <c r="D68" s="206">
        <f>B2</f>
        <v>187.33333333333331</v>
      </c>
      <c r="E68" s="65">
        <f t="shared" si="7"/>
        <v>17.333333333333332</v>
      </c>
      <c r="F68" s="67">
        <f t="shared" si="20"/>
        <v>4.255319148936171</v>
      </c>
      <c r="G68" s="65">
        <f t="shared" si="9"/>
        <v>4.255319148936171</v>
      </c>
      <c r="H68" s="67">
        <f t="shared" si="21"/>
        <v>4.255319148936171</v>
      </c>
      <c r="I68" s="68">
        <f t="shared" si="25"/>
        <v>3.8413461538461496E-4</v>
      </c>
      <c r="J68" s="75">
        <f t="shared" si="15"/>
        <v>2.2279807692307696E-2</v>
      </c>
      <c r="K68" s="200">
        <f t="shared" si="11"/>
        <v>22.279807692307696</v>
      </c>
      <c r="L68" s="157">
        <f t="shared" si="12"/>
        <v>1</v>
      </c>
      <c r="M68" s="66">
        <f t="shared" si="22"/>
        <v>0.86666666666666659</v>
      </c>
      <c r="N68" s="66">
        <f t="shared" si="16"/>
        <v>1.2291050295857977E-2</v>
      </c>
      <c r="O68" s="66">
        <f t="shared" si="14"/>
        <v>31.996726677577744</v>
      </c>
      <c r="P68" s="66">
        <f t="shared" si="23"/>
        <v>63.993453355155488</v>
      </c>
      <c r="Q68" s="66">
        <f t="shared" si="24"/>
        <v>11.998772504091654</v>
      </c>
    </row>
    <row r="69" spans="1:17" ht="12.75">
      <c r="A69" s="66">
        <f t="shared" si="17"/>
        <v>17</v>
      </c>
      <c r="B69" s="69">
        <f t="shared" si="18"/>
        <v>9.6442307692307683</v>
      </c>
      <c r="C69" s="67">
        <f t="shared" si="19"/>
        <v>0</v>
      </c>
      <c r="D69" s="206">
        <f>B2</f>
        <v>187.33333333333331</v>
      </c>
      <c r="E69" s="65">
        <f t="shared" si="7"/>
        <v>17.333333333333332</v>
      </c>
      <c r="F69" s="67">
        <f t="shared" si="20"/>
        <v>4.255319148936171</v>
      </c>
      <c r="G69" s="65">
        <f t="shared" si="9"/>
        <v>4.255319148936171</v>
      </c>
      <c r="H69" s="67">
        <f t="shared" si="21"/>
        <v>4.255319148936171</v>
      </c>
      <c r="I69" s="68">
        <f t="shared" si="25"/>
        <v>3.8413461538461079E-4</v>
      </c>
      <c r="J69" s="75">
        <f t="shared" si="15"/>
        <v>2.2663942307692305E-2</v>
      </c>
      <c r="K69" s="200">
        <f t="shared" si="11"/>
        <v>22.663942307692306</v>
      </c>
      <c r="L69" s="157">
        <f t="shared" si="12"/>
        <v>1</v>
      </c>
      <c r="M69" s="66">
        <f t="shared" si="22"/>
        <v>0.86666666666666659</v>
      </c>
      <c r="N69" s="66">
        <f t="shared" si="16"/>
        <v>1.2023853550295718E-2</v>
      </c>
      <c r="O69" s="66">
        <f t="shared" si="14"/>
        <v>31.301145662847802</v>
      </c>
      <c r="P69" s="66">
        <f t="shared" si="23"/>
        <v>62.602291325695603</v>
      </c>
      <c r="Q69" s="66">
        <f t="shared" si="24"/>
        <v>11.737929623567926</v>
      </c>
    </row>
    <row r="70" spans="1:17" ht="12.75">
      <c r="A70" s="66">
        <f t="shared" si="17"/>
        <v>17</v>
      </c>
      <c r="B70" s="69">
        <f t="shared" si="18"/>
        <v>9.8076923076923066</v>
      </c>
      <c r="C70" s="67">
        <f t="shared" si="19"/>
        <v>0</v>
      </c>
      <c r="D70" s="206">
        <f>B2</f>
        <v>187.33333333333331</v>
      </c>
      <c r="E70" s="65">
        <f t="shared" si="7"/>
        <v>17.333333333333332</v>
      </c>
      <c r="F70" s="67">
        <f t="shared" si="20"/>
        <v>4.255319148936171</v>
      </c>
      <c r="G70" s="65">
        <f t="shared" si="9"/>
        <v>4.255319148936171</v>
      </c>
      <c r="H70" s="67">
        <f t="shared" si="21"/>
        <v>4.255319148936171</v>
      </c>
      <c r="I70" s="68">
        <f t="shared" si="25"/>
        <v>3.8413461538461496E-4</v>
      </c>
      <c r="J70" s="75">
        <f t="shared" si="15"/>
        <v>2.3048076923076921E-2</v>
      </c>
      <c r="K70" s="200">
        <f t="shared" si="11"/>
        <v>23.04807692307692</v>
      </c>
      <c r="L70" s="157">
        <f t="shared" si="12"/>
        <v>1</v>
      </c>
      <c r="M70" s="66">
        <f t="shared" si="22"/>
        <v>0.86666666666666659</v>
      </c>
      <c r="N70" s="66">
        <f t="shared" si="16"/>
        <v>1.175665680473372E-2</v>
      </c>
      <c r="O70" s="66">
        <f t="shared" si="14"/>
        <v>30.605564648117848</v>
      </c>
      <c r="P70" s="66">
        <f t="shared" si="23"/>
        <v>61.211129296235697</v>
      </c>
      <c r="Q70" s="66">
        <f t="shared" si="24"/>
        <v>11.477086743044195</v>
      </c>
    </row>
    <row r="71" spans="1:17" ht="12.75">
      <c r="A71" s="66">
        <f t="shared" si="17"/>
        <v>17</v>
      </c>
      <c r="B71" s="69">
        <f t="shared" si="18"/>
        <v>9.9711538461538467</v>
      </c>
      <c r="C71" s="67">
        <f t="shared" si="19"/>
        <v>0</v>
      </c>
      <c r="D71" s="206">
        <f>B2</f>
        <v>187.33333333333331</v>
      </c>
      <c r="E71" s="65">
        <f t="shared" si="7"/>
        <v>17.333333333333332</v>
      </c>
      <c r="F71" s="67">
        <f t="shared" si="20"/>
        <v>4.255319148936171</v>
      </c>
      <c r="G71" s="65">
        <f t="shared" si="9"/>
        <v>4.255319148936171</v>
      </c>
      <c r="H71" s="67">
        <f t="shared" si="21"/>
        <v>4.255319148936171</v>
      </c>
      <c r="I71" s="68">
        <f t="shared" si="25"/>
        <v>3.8413461538461919E-4</v>
      </c>
      <c r="J71" s="75">
        <f t="shared" si="15"/>
        <v>2.3432211538461541E-2</v>
      </c>
      <c r="K71" s="200">
        <f t="shared" si="11"/>
        <v>23.432211538461541</v>
      </c>
      <c r="L71" s="157">
        <f t="shared" si="12"/>
        <v>1</v>
      </c>
      <c r="M71" s="66">
        <f t="shared" si="22"/>
        <v>0.86666666666666659</v>
      </c>
      <c r="N71" s="66">
        <f t="shared" si="16"/>
        <v>1.1489460059171714E-2</v>
      </c>
      <c r="O71" s="66">
        <f t="shared" si="14"/>
        <v>29.909983633387892</v>
      </c>
      <c r="P71" s="66">
        <f t="shared" si="23"/>
        <v>59.819967266775784</v>
      </c>
      <c r="Q71" s="66">
        <f t="shared" si="24"/>
        <v>11.216243862520461</v>
      </c>
    </row>
    <row r="72" spans="1:17" ht="12.75">
      <c r="A72" s="66">
        <f t="shared" si="17"/>
        <v>17</v>
      </c>
      <c r="B72" s="69">
        <f t="shared" si="18"/>
        <v>10.134615384615385</v>
      </c>
      <c r="C72" s="67">
        <f t="shared" si="19"/>
        <v>0</v>
      </c>
      <c r="D72" s="206">
        <f>B2</f>
        <v>187.33333333333331</v>
      </c>
      <c r="E72" s="65">
        <f t="shared" si="7"/>
        <v>17.333333333333332</v>
      </c>
      <c r="F72" s="67">
        <f t="shared" si="20"/>
        <v>4.255319148936171</v>
      </c>
      <c r="G72" s="65">
        <f t="shared" si="9"/>
        <v>4.255319148936171</v>
      </c>
      <c r="H72" s="67">
        <f t="shared" si="21"/>
        <v>4.255319148936171</v>
      </c>
      <c r="I72" s="68">
        <f t="shared" si="25"/>
        <v>3.8413461538461496E-4</v>
      </c>
      <c r="J72" s="75">
        <f t="shared" si="15"/>
        <v>2.3816346153846157E-2</v>
      </c>
      <c r="K72" s="200">
        <f t="shared" si="11"/>
        <v>23.816346153846158</v>
      </c>
      <c r="L72" s="157">
        <f t="shared" si="12"/>
        <v>1</v>
      </c>
      <c r="M72" s="66">
        <f t="shared" si="22"/>
        <v>0.86666666666666659</v>
      </c>
      <c r="N72" s="66">
        <f t="shared" si="16"/>
        <v>1.1222263313609458E-2</v>
      </c>
      <c r="O72" s="66">
        <f t="shared" si="14"/>
        <v>29.214402618657942</v>
      </c>
      <c r="P72" s="66">
        <f t="shared" si="23"/>
        <v>58.428805237315885</v>
      </c>
      <c r="Q72" s="66">
        <f t="shared" si="24"/>
        <v>10.955400981996728</v>
      </c>
    </row>
    <row r="73" spans="1:17" ht="12.75">
      <c r="A73" s="66">
        <f t="shared" si="17"/>
        <v>17</v>
      </c>
      <c r="B73" s="69">
        <f t="shared" si="18"/>
        <v>10.298076923076922</v>
      </c>
      <c r="C73" s="67">
        <f t="shared" si="19"/>
        <v>0</v>
      </c>
      <c r="D73" s="206">
        <f>B2</f>
        <v>187.33333333333331</v>
      </c>
      <c r="E73" s="65">
        <f t="shared" si="7"/>
        <v>17.333333333333332</v>
      </c>
      <c r="F73" s="67">
        <f t="shared" si="20"/>
        <v>4.255319148936171</v>
      </c>
      <c r="G73" s="65">
        <f t="shared" si="9"/>
        <v>4.255319148936171</v>
      </c>
      <c r="H73" s="67">
        <f t="shared" si="21"/>
        <v>4.255319148936171</v>
      </c>
      <c r="I73" s="68">
        <f t="shared" si="25"/>
        <v>3.8413461538461079E-4</v>
      </c>
      <c r="J73" s="75">
        <f t="shared" si="15"/>
        <v>2.4200480769230766E-2</v>
      </c>
      <c r="K73" s="200">
        <f t="shared" si="11"/>
        <v>24.200480769230765</v>
      </c>
      <c r="L73" s="157">
        <f t="shared" si="12"/>
        <v>1</v>
      </c>
      <c r="M73" s="66">
        <f t="shared" si="22"/>
        <v>0.86666666666666659</v>
      </c>
      <c r="N73" s="66">
        <f t="shared" si="16"/>
        <v>1.0955066568047211E-2</v>
      </c>
      <c r="O73" s="66">
        <f t="shared" si="14"/>
        <v>28.518821603928</v>
      </c>
      <c r="P73" s="66">
        <f t="shared" si="23"/>
        <v>57.037643207856</v>
      </c>
      <c r="Q73" s="66">
        <f t="shared" si="24"/>
        <v>10.694558101473</v>
      </c>
    </row>
    <row r="74" spans="1:17" ht="12.75">
      <c r="A74" s="66">
        <f t="shared" ref="A74:A105" si="26">VINMAX</f>
        <v>17</v>
      </c>
      <c r="B74" s="69">
        <f t="shared" ref="B74:B105" si="27">VINMAX*((ROW()-10)/104)</f>
        <v>10.461538461538462</v>
      </c>
      <c r="C74" s="67">
        <f t="shared" ref="C74:C105" si="28">IF(B74&gt;=$H$2,IF($D$2="CC", $G$2, B74/$G$2), 0)</f>
        <v>0</v>
      </c>
      <c r="D74" s="206">
        <f>B2</f>
        <v>187.33333333333331</v>
      </c>
      <c r="E74" s="65">
        <f t="shared" si="7"/>
        <v>17.333333333333332</v>
      </c>
      <c r="F74" s="67">
        <f t="shared" ref="F74:F105" si="29">I_Cout_ss+C74</f>
        <v>4.255319148936171</v>
      </c>
      <c r="G74" s="65">
        <f t="shared" si="9"/>
        <v>4.255319148936171</v>
      </c>
      <c r="H74" s="67">
        <f t="shared" ref="H74:H105" si="30">G74-C74</f>
        <v>4.255319148936171</v>
      </c>
      <c r="I74" s="68">
        <f t="shared" si="25"/>
        <v>3.8413461538461919E-4</v>
      </c>
      <c r="J74" s="75">
        <f t="shared" si="15"/>
        <v>2.4584615384615385E-2</v>
      </c>
      <c r="K74" s="200">
        <f t="shared" si="11"/>
        <v>24.584615384615386</v>
      </c>
      <c r="L74" s="157">
        <f t="shared" si="12"/>
        <v>1</v>
      </c>
      <c r="M74" s="66">
        <f t="shared" ref="M74:M105" si="31">1/COUTMAX*(E74/2-C74)*1000</f>
        <v>0.86666666666666659</v>
      </c>
      <c r="N74" s="66">
        <f t="shared" si="16"/>
        <v>1.0687869822485315E-2</v>
      </c>
      <c r="O74" s="66">
        <f t="shared" si="14"/>
        <v>27.82324058919804</v>
      </c>
      <c r="P74" s="66">
        <f t="shared" ref="P74:P105" si="32">(A74-B74)*(I_Cout_ss*$Q$2+C74)</f>
        <v>55.64648117839608</v>
      </c>
      <c r="Q74" s="66">
        <f t="shared" ref="Q74:Q105" si="33">(A74-B74)*(I_Cout_ss*$R$2+C74)</f>
        <v>10.433715220949265</v>
      </c>
    </row>
    <row r="75" spans="1:17" ht="12.75">
      <c r="A75" s="66">
        <f t="shared" si="26"/>
        <v>17</v>
      </c>
      <c r="B75" s="69">
        <f t="shared" si="27"/>
        <v>10.625</v>
      </c>
      <c r="C75" s="67">
        <f t="shared" si="28"/>
        <v>0</v>
      </c>
      <c r="D75" s="206">
        <f>B2</f>
        <v>187.33333333333331</v>
      </c>
      <c r="E75" s="65">
        <f t="shared" ref="E75:E110" si="34">MIN(D75/(A75-B75),$C$2)</f>
        <v>17.333333333333332</v>
      </c>
      <c r="F75" s="67">
        <f t="shared" si="29"/>
        <v>4.255319148936171</v>
      </c>
      <c r="G75" s="65">
        <f t="shared" ref="G75:G110" si="35">IF($F$2="YES", F75, E75)</f>
        <v>4.255319148936171</v>
      </c>
      <c r="H75" s="67">
        <f t="shared" si="30"/>
        <v>4.255319148936171</v>
      </c>
      <c r="I75" s="68">
        <f t="shared" ref="I75:I106" si="36">(COUTMAX/1000000)*(B75-B74)/H75</f>
        <v>3.8413461538461496E-4</v>
      </c>
      <c r="J75" s="75">
        <f t="shared" si="15"/>
        <v>2.4968750000000001E-2</v>
      </c>
      <c r="K75" s="200">
        <f t="shared" ref="K75:K114" si="37">J75*1000</f>
        <v>24.96875</v>
      </c>
      <c r="L75" s="157">
        <f t="shared" ref="L75:L110" si="38">H75/G75</f>
        <v>1</v>
      </c>
      <c r="M75" s="66">
        <f t="shared" si="31"/>
        <v>0.86666666666666659</v>
      </c>
      <c r="N75" s="66">
        <f t="shared" ref="N75:N110" si="39">I75*G75*(A75-B75)</f>
        <v>1.0420673076923069E-2</v>
      </c>
      <c r="O75" s="66">
        <f t="shared" ref="O75:O114" si="40">G75*(A75-B75)</f>
        <v>27.12765957446809</v>
      </c>
      <c r="P75" s="66">
        <f t="shared" si="32"/>
        <v>54.255319148936181</v>
      </c>
      <c r="Q75" s="66">
        <f t="shared" si="33"/>
        <v>10.172872340425535</v>
      </c>
    </row>
    <row r="76" spans="1:17" ht="12.75">
      <c r="A76" s="66">
        <f t="shared" si="26"/>
        <v>17</v>
      </c>
      <c r="B76" s="69">
        <f t="shared" si="27"/>
        <v>10.788461538461538</v>
      </c>
      <c r="C76" s="67">
        <f t="shared" si="28"/>
        <v>0</v>
      </c>
      <c r="D76" s="206">
        <f>B2</f>
        <v>187.33333333333331</v>
      </c>
      <c r="E76" s="65">
        <f t="shared" si="34"/>
        <v>17.333333333333332</v>
      </c>
      <c r="F76" s="67">
        <f t="shared" si="29"/>
        <v>4.255319148936171</v>
      </c>
      <c r="G76" s="65">
        <f t="shared" si="35"/>
        <v>4.255319148936171</v>
      </c>
      <c r="H76" s="67">
        <f t="shared" si="30"/>
        <v>4.255319148936171</v>
      </c>
      <c r="I76" s="68">
        <f t="shared" si="36"/>
        <v>3.8413461538461496E-4</v>
      </c>
      <c r="J76" s="75">
        <f t="shared" ref="J76:J110" si="41">J75+I76</f>
        <v>2.5352884615384617E-2</v>
      </c>
      <c r="K76" s="200">
        <f t="shared" si="37"/>
        <v>25.352884615384617</v>
      </c>
      <c r="L76" s="157">
        <f t="shared" si="38"/>
        <v>1</v>
      </c>
      <c r="M76" s="66">
        <f t="shared" si="31"/>
        <v>0.86666666666666659</v>
      </c>
      <c r="N76" s="66">
        <f t="shared" si="39"/>
        <v>1.0153476331360939E-2</v>
      </c>
      <c r="O76" s="66">
        <f t="shared" si="40"/>
        <v>26.432078559738141</v>
      </c>
      <c r="P76" s="66">
        <f t="shared" si="32"/>
        <v>52.864157119476282</v>
      </c>
      <c r="Q76" s="66">
        <f t="shared" si="33"/>
        <v>9.9120294599018024</v>
      </c>
    </row>
    <row r="77" spans="1:17" ht="12.75">
      <c r="A77" s="66">
        <f t="shared" si="26"/>
        <v>17</v>
      </c>
      <c r="B77" s="69">
        <f t="shared" si="27"/>
        <v>10.951923076923078</v>
      </c>
      <c r="C77" s="67">
        <f t="shared" si="28"/>
        <v>0</v>
      </c>
      <c r="D77" s="206">
        <f>B2</f>
        <v>187.33333333333331</v>
      </c>
      <c r="E77" s="65">
        <f t="shared" si="34"/>
        <v>17.333333333333332</v>
      </c>
      <c r="F77" s="67">
        <f t="shared" si="29"/>
        <v>4.255319148936171</v>
      </c>
      <c r="G77" s="65">
        <f t="shared" si="35"/>
        <v>4.255319148936171</v>
      </c>
      <c r="H77" s="67">
        <f t="shared" si="30"/>
        <v>4.255319148936171</v>
      </c>
      <c r="I77" s="68">
        <f t="shared" si="36"/>
        <v>3.8413461538461919E-4</v>
      </c>
      <c r="J77" s="75">
        <f t="shared" si="41"/>
        <v>2.5737019230769237E-2</v>
      </c>
      <c r="K77" s="200">
        <f t="shared" si="37"/>
        <v>25.737019230769238</v>
      </c>
      <c r="L77" s="157">
        <f t="shared" si="38"/>
        <v>1</v>
      </c>
      <c r="M77" s="66">
        <f t="shared" si="31"/>
        <v>0.86666666666666659</v>
      </c>
      <c r="N77" s="66">
        <f t="shared" si="39"/>
        <v>9.8862795857989141E-3</v>
      </c>
      <c r="O77" s="66">
        <f t="shared" si="40"/>
        <v>25.736497545008181</v>
      </c>
      <c r="P77" s="66">
        <f t="shared" si="32"/>
        <v>51.472995090016362</v>
      </c>
      <c r="Q77" s="66">
        <f t="shared" si="33"/>
        <v>9.6511865793780682</v>
      </c>
    </row>
    <row r="78" spans="1:17" ht="12.75">
      <c r="A78" s="66">
        <f t="shared" si="26"/>
        <v>17</v>
      </c>
      <c r="B78" s="69">
        <f t="shared" si="27"/>
        <v>11.115384615384615</v>
      </c>
      <c r="C78" s="67">
        <f t="shared" si="28"/>
        <v>0</v>
      </c>
      <c r="D78" s="206">
        <f>B2</f>
        <v>187.33333333333331</v>
      </c>
      <c r="E78" s="65">
        <f t="shared" si="34"/>
        <v>17.333333333333332</v>
      </c>
      <c r="F78" s="67">
        <f t="shared" si="29"/>
        <v>4.255319148936171</v>
      </c>
      <c r="G78" s="65">
        <f t="shared" si="35"/>
        <v>4.255319148936171</v>
      </c>
      <c r="H78" s="67">
        <f t="shared" si="30"/>
        <v>4.255319148936171</v>
      </c>
      <c r="I78" s="68">
        <f t="shared" si="36"/>
        <v>3.8413461538461079E-4</v>
      </c>
      <c r="J78" s="75">
        <f t="shared" si="41"/>
        <v>2.6121153846153846E-2</v>
      </c>
      <c r="K78" s="200">
        <f t="shared" si="37"/>
        <v>26.121153846153845</v>
      </c>
      <c r="L78" s="157">
        <f t="shared" si="38"/>
        <v>1</v>
      </c>
      <c r="M78" s="66">
        <f t="shared" si="31"/>
        <v>0.86666666666666659</v>
      </c>
      <c r="N78" s="66">
        <f t="shared" si="39"/>
        <v>9.619082840236574E-3</v>
      </c>
      <c r="O78" s="66">
        <f t="shared" si="40"/>
        <v>25.040916530278238</v>
      </c>
      <c r="P78" s="66">
        <f t="shared" si="32"/>
        <v>50.081833060556477</v>
      </c>
      <c r="Q78" s="66">
        <f t="shared" si="33"/>
        <v>9.3903436988543394</v>
      </c>
    </row>
    <row r="79" spans="1:17" ht="12.75">
      <c r="A79" s="66">
        <f t="shared" si="26"/>
        <v>17</v>
      </c>
      <c r="B79" s="69">
        <f t="shared" si="27"/>
        <v>11.278846153846153</v>
      </c>
      <c r="C79" s="67">
        <f t="shared" si="28"/>
        <v>0</v>
      </c>
      <c r="D79" s="206">
        <f>B2</f>
        <v>187.33333333333331</v>
      </c>
      <c r="E79" s="65">
        <f t="shared" si="34"/>
        <v>17.333333333333332</v>
      </c>
      <c r="F79" s="67">
        <f t="shared" si="29"/>
        <v>4.255319148936171</v>
      </c>
      <c r="G79" s="65">
        <f t="shared" si="35"/>
        <v>4.255319148936171</v>
      </c>
      <c r="H79" s="67">
        <f t="shared" si="30"/>
        <v>4.255319148936171</v>
      </c>
      <c r="I79" s="68">
        <f t="shared" si="36"/>
        <v>3.8413461538461496E-4</v>
      </c>
      <c r="J79" s="75">
        <f t="shared" si="41"/>
        <v>2.6505288461538462E-2</v>
      </c>
      <c r="K79" s="200">
        <f t="shared" si="37"/>
        <v>26.505288461538463</v>
      </c>
      <c r="L79" s="157">
        <f t="shared" si="38"/>
        <v>1</v>
      </c>
      <c r="M79" s="66">
        <f t="shared" si="31"/>
        <v>0.86666666666666659</v>
      </c>
      <c r="N79" s="66">
        <f t="shared" si="39"/>
        <v>9.3518860946745497E-3</v>
      </c>
      <c r="O79" s="66">
        <f t="shared" si="40"/>
        <v>24.345335515548289</v>
      </c>
      <c r="P79" s="66">
        <f t="shared" si="32"/>
        <v>48.690671031096578</v>
      </c>
      <c r="Q79" s="66">
        <f t="shared" si="33"/>
        <v>9.1295008183306088</v>
      </c>
    </row>
    <row r="80" spans="1:17" ht="12.75">
      <c r="A80" s="66">
        <f t="shared" si="26"/>
        <v>17</v>
      </c>
      <c r="B80" s="69">
        <f t="shared" si="27"/>
        <v>11.442307692307693</v>
      </c>
      <c r="C80" s="67">
        <f t="shared" si="28"/>
        <v>0</v>
      </c>
      <c r="D80" s="206">
        <f>B2</f>
        <v>187.33333333333331</v>
      </c>
      <c r="E80" s="65">
        <f t="shared" si="34"/>
        <v>17.333333333333332</v>
      </c>
      <c r="F80" s="67">
        <f t="shared" si="29"/>
        <v>4.255319148936171</v>
      </c>
      <c r="G80" s="65">
        <f t="shared" si="35"/>
        <v>4.255319148936171</v>
      </c>
      <c r="H80" s="67">
        <f t="shared" si="30"/>
        <v>4.255319148936171</v>
      </c>
      <c r="I80" s="68">
        <f t="shared" si="36"/>
        <v>3.8413461538461919E-4</v>
      </c>
      <c r="J80" s="75">
        <f t="shared" si="41"/>
        <v>2.6889423076923082E-2</v>
      </c>
      <c r="K80" s="200">
        <f t="shared" si="37"/>
        <v>26.88942307692308</v>
      </c>
      <c r="L80" s="157">
        <f t="shared" si="38"/>
        <v>1</v>
      </c>
      <c r="M80" s="66">
        <f t="shared" si="31"/>
        <v>0.86666666666666659</v>
      </c>
      <c r="N80" s="66">
        <f t="shared" si="39"/>
        <v>9.0846893491125166E-3</v>
      </c>
      <c r="O80" s="66">
        <f t="shared" si="40"/>
        <v>23.649754500818329</v>
      </c>
      <c r="P80" s="66">
        <f t="shared" si="32"/>
        <v>47.299509001636658</v>
      </c>
      <c r="Q80" s="66">
        <f t="shared" si="33"/>
        <v>8.8686579378068746</v>
      </c>
    </row>
    <row r="81" spans="1:17" ht="12.75">
      <c r="A81" s="66">
        <f t="shared" si="26"/>
        <v>17</v>
      </c>
      <c r="B81" s="69">
        <f t="shared" si="27"/>
        <v>11.605769230769232</v>
      </c>
      <c r="C81" s="67">
        <f t="shared" si="28"/>
        <v>0</v>
      </c>
      <c r="D81" s="206">
        <f>B2</f>
        <v>187.33333333333331</v>
      </c>
      <c r="E81" s="65">
        <f t="shared" si="34"/>
        <v>17.333333333333332</v>
      </c>
      <c r="F81" s="67">
        <f t="shared" si="29"/>
        <v>4.255319148936171</v>
      </c>
      <c r="G81" s="65">
        <f t="shared" si="35"/>
        <v>4.255319148936171</v>
      </c>
      <c r="H81" s="67">
        <f t="shared" si="30"/>
        <v>4.255319148936171</v>
      </c>
      <c r="I81" s="68">
        <f t="shared" si="36"/>
        <v>3.8413461538461496E-4</v>
      </c>
      <c r="J81" s="75">
        <f t="shared" si="41"/>
        <v>2.7273557692307698E-2</v>
      </c>
      <c r="K81" s="200">
        <f t="shared" si="37"/>
        <v>27.273557692307698</v>
      </c>
      <c r="L81" s="157">
        <f t="shared" si="38"/>
        <v>1</v>
      </c>
      <c r="M81" s="66">
        <f t="shared" si="31"/>
        <v>0.86666666666666659</v>
      </c>
      <c r="N81" s="66">
        <f t="shared" si="39"/>
        <v>8.8174926035502876E-3</v>
      </c>
      <c r="O81" s="66">
        <f t="shared" si="40"/>
        <v>22.954173486088379</v>
      </c>
      <c r="P81" s="66">
        <f t="shared" si="32"/>
        <v>45.908346972176759</v>
      </c>
      <c r="Q81" s="66">
        <f t="shared" si="33"/>
        <v>8.6078150572831422</v>
      </c>
    </row>
    <row r="82" spans="1:17" ht="12.75">
      <c r="A82" s="66">
        <f t="shared" si="26"/>
        <v>17</v>
      </c>
      <c r="B82" s="69">
        <f t="shared" si="27"/>
        <v>11.769230769230768</v>
      </c>
      <c r="C82" s="67">
        <f t="shared" si="28"/>
        <v>0</v>
      </c>
      <c r="D82" s="206">
        <f>B2</f>
        <v>187.33333333333331</v>
      </c>
      <c r="E82" s="65">
        <f t="shared" si="34"/>
        <v>17.333333333333332</v>
      </c>
      <c r="F82" s="67">
        <f t="shared" si="29"/>
        <v>4.255319148936171</v>
      </c>
      <c r="G82" s="65">
        <f t="shared" si="35"/>
        <v>4.255319148936171</v>
      </c>
      <c r="H82" s="67">
        <f t="shared" si="30"/>
        <v>4.255319148936171</v>
      </c>
      <c r="I82" s="68">
        <f t="shared" si="36"/>
        <v>3.8413461538461079E-4</v>
      </c>
      <c r="J82" s="75">
        <f t="shared" si="41"/>
        <v>2.7657692307692307E-2</v>
      </c>
      <c r="K82" s="200">
        <f t="shared" si="37"/>
        <v>27.657692307692308</v>
      </c>
      <c r="L82" s="157">
        <f t="shared" si="38"/>
        <v>1</v>
      </c>
      <c r="M82" s="66">
        <f t="shared" si="31"/>
        <v>0.86666666666666659</v>
      </c>
      <c r="N82" s="66">
        <f t="shared" si="39"/>
        <v>8.5502958579880672E-3</v>
      </c>
      <c r="O82" s="66">
        <f t="shared" si="40"/>
        <v>22.258592471358437</v>
      </c>
      <c r="P82" s="66">
        <f t="shared" si="32"/>
        <v>44.517184942716874</v>
      </c>
      <c r="Q82" s="66">
        <f t="shared" si="33"/>
        <v>8.3469721767594152</v>
      </c>
    </row>
    <row r="83" spans="1:17" ht="12.75">
      <c r="A83" s="66">
        <f t="shared" si="26"/>
        <v>17</v>
      </c>
      <c r="B83" s="69">
        <f t="shared" si="27"/>
        <v>11.932692307692307</v>
      </c>
      <c r="C83" s="67">
        <f t="shared" si="28"/>
        <v>0</v>
      </c>
      <c r="D83" s="206">
        <f>B2</f>
        <v>187.33333333333331</v>
      </c>
      <c r="E83" s="65">
        <f t="shared" si="34"/>
        <v>17.333333333333332</v>
      </c>
      <c r="F83" s="67">
        <f t="shared" si="29"/>
        <v>4.255319148936171</v>
      </c>
      <c r="G83" s="65">
        <f t="shared" si="35"/>
        <v>4.255319148936171</v>
      </c>
      <c r="H83" s="67">
        <f t="shared" si="30"/>
        <v>4.255319148936171</v>
      </c>
      <c r="I83" s="68">
        <f t="shared" si="36"/>
        <v>3.8413461538461496E-4</v>
      </c>
      <c r="J83" s="75">
        <f t="shared" si="41"/>
        <v>2.8041826923076923E-2</v>
      </c>
      <c r="K83" s="200">
        <f t="shared" si="37"/>
        <v>28.041826923076922</v>
      </c>
      <c r="L83" s="157">
        <f t="shared" si="38"/>
        <v>1</v>
      </c>
      <c r="M83" s="66">
        <f t="shared" si="31"/>
        <v>0.86666666666666659</v>
      </c>
      <c r="N83" s="66">
        <f t="shared" si="39"/>
        <v>8.2830991124260307E-3</v>
      </c>
      <c r="O83" s="66">
        <f t="shared" si="40"/>
        <v>21.563011456628487</v>
      </c>
      <c r="P83" s="66">
        <f t="shared" si="32"/>
        <v>43.126022913256975</v>
      </c>
      <c r="Q83" s="66">
        <f t="shared" si="33"/>
        <v>8.0861292962356828</v>
      </c>
    </row>
    <row r="84" spans="1:17" ht="12.75">
      <c r="A84" s="66">
        <f t="shared" si="26"/>
        <v>17</v>
      </c>
      <c r="B84" s="69">
        <f t="shared" si="27"/>
        <v>12.096153846153847</v>
      </c>
      <c r="C84" s="67">
        <f t="shared" si="28"/>
        <v>1.2096153846153848</v>
      </c>
      <c r="D84" s="206">
        <f>B2</f>
        <v>187.33333333333331</v>
      </c>
      <c r="E84" s="65">
        <f t="shared" si="34"/>
        <v>17.333333333333332</v>
      </c>
      <c r="F84" s="67">
        <f t="shared" si="29"/>
        <v>5.4649345335515562</v>
      </c>
      <c r="G84" s="65">
        <f t="shared" si="35"/>
        <v>5.4649345335515562</v>
      </c>
      <c r="H84" s="67">
        <f t="shared" si="30"/>
        <v>4.2553191489361719</v>
      </c>
      <c r="I84" s="68">
        <f t="shared" si="36"/>
        <v>3.8413461538461908E-4</v>
      </c>
      <c r="J84" s="75">
        <f t="shared" si="41"/>
        <v>2.8425961538461542E-2</v>
      </c>
      <c r="K84" s="200">
        <f t="shared" si="37"/>
        <v>28.425961538461543</v>
      </c>
      <c r="L84" s="157">
        <f t="shared" si="38"/>
        <v>0.77865876028540848</v>
      </c>
      <c r="M84" s="66">
        <f t="shared" si="31"/>
        <v>0.74570512820512824</v>
      </c>
      <c r="N84" s="66">
        <f t="shared" si="39"/>
        <v>1.0294499690629368E-2</v>
      </c>
      <c r="O84" s="66">
        <f t="shared" si="40"/>
        <v>26.799198193377819</v>
      </c>
      <c r="P84" s="66">
        <f t="shared" si="32"/>
        <v>47.666628635276346</v>
      </c>
      <c r="Q84" s="66">
        <f t="shared" si="33"/>
        <v>13.757054167191239</v>
      </c>
    </row>
    <row r="85" spans="1:17" ht="12.75">
      <c r="A85" s="66">
        <f t="shared" si="26"/>
        <v>17</v>
      </c>
      <c r="B85" s="69">
        <f t="shared" si="27"/>
        <v>12.259615384615385</v>
      </c>
      <c r="C85" s="67">
        <f t="shared" si="28"/>
        <v>1.2259615384615385</v>
      </c>
      <c r="D85" s="206">
        <f>B2</f>
        <v>187.33333333333331</v>
      </c>
      <c r="E85" s="65">
        <f t="shared" si="34"/>
        <v>17.333333333333332</v>
      </c>
      <c r="F85" s="67">
        <f t="shared" si="29"/>
        <v>5.4812806873977094</v>
      </c>
      <c r="G85" s="65">
        <f t="shared" si="35"/>
        <v>5.4812806873977094</v>
      </c>
      <c r="H85" s="67">
        <f t="shared" si="30"/>
        <v>4.255319148936171</v>
      </c>
      <c r="I85" s="68">
        <f t="shared" si="36"/>
        <v>3.8413461538461496E-4</v>
      </c>
      <c r="J85" s="75">
        <f t="shared" si="41"/>
        <v>2.8810096153846158E-2</v>
      </c>
      <c r="K85" s="200">
        <f t="shared" si="37"/>
        <v>28.810096153846157</v>
      </c>
      <c r="L85" s="157">
        <f t="shared" si="38"/>
        <v>0.77633666137911739</v>
      </c>
      <c r="M85" s="66">
        <f t="shared" si="31"/>
        <v>0.74407051282051284</v>
      </c>
      <c r="N85" s="66">
        <f t="shared" si="39"/>
        <v>9.9811151614772886E-3</v>
      </c>
      <c r="O85" s="66">
        <f t="shared" si="40"/>
        <v>25.98337864314491</v>
      </c>
      <c r="P85" s="66">
        <f t="shared" si="32"/>
        <v>46.155228070313484</v>
      </c>
      <c r="Q85" s="66">
        <f t="shared" si="33"/>
        <v>13.375972751164548</v>
      </c>
    </row>
    <row r="86" spans="1:17" ht="12.75">
      <c r="A86" s="66">
        <f t="shared" si="26"/>
        <v>17</v>
      </c>
      <c r="B86" s="69">
        <f t="shared" si="27"/>
        <v>12.423076923076922</v>
      </c>
      <c r="C86" s="67">
        <f t="shared" si="28"/>
        <v>1.2423076923076921</v>
      </c>
      <c r="D86" s="206">
        <f>B2</f>
        <v>187.33333333333331</v>
      </c>
      <c r="E86" s="65">
        <f t="shared" si="34"/>
        <v>17.333333333333332</v>
      </c>
      <c r="F86" s="67">
        <f t="shared" si="29"/>
        <v>5.4976268412438634</v>
      </c>
      <c r="G86" s="65">
        <f t="shared" si="35"/>
        <v>5.4976268412438634</v>
      </c>
      <c r="H86" s="67">
        <f t="shared" si="30"/>
        <v>4.255319148936171</v>
      </c>
      <c r="I86" s="68">
        <f t="shared" si="36"/>
        <v>3.8413461538461079E-4</v>
      </c>
      <c r="J86" s="75">
        <f t="shared" si="41"/>
        <v>2.9194230769230767E-2</v>
      </c>
      <c r="K86" s="200">
        <f t="shared" si="37"/>
        <v>29.194230769230767</v>
      </c>
      <c r="L86" s="157">
        <f t="shared" si="38"/>
        <v>0.77402837111683365</v>
      </c>
      <c r="M86" s="66">
        <f t="shared" si="31"/>
        <v>0.74243589743589744</v>
      </c>
      <c r="N86" s="66">
        <f t="shared" si="39"/>
        <v>9.6656778419434482E-3</v>
      </c>
      <c r="O86" s="66">
        <f t="shared" si="40"/>
        <v>25.162215158000766</v>
      </c>
      <c r="P86" s="66">
        <f t="shared" si="32"/>
        <v>44.638483570439405</v>
      </c>
      <c r="Q86" s="66">
        <f t="shared" si="33"/>
        <v>12.989547400226622</v>
      </c>
    </row>
    <row r="87" spans="1:17" ht="12.75">
      <c r="A87" s="66">
        <f t="shared" si="26"/>
        <v>17</v>
      </c>
      <c r="B87" s="69">
        <f t="shared" si="27"/>
        <v>12.586538461538462</v>
      </c>
      <c r="C87" s="67">
        <f t="shared" si="28"/>
        <v>1.2586538461538461</v>
      </c>
      <c r="D87" s="206">
        <f>B2</f>
        <v>187.33333333333331</v>
      </c>
      <c r="E87" s="65">
        <f t="shared" si="34"/>
        <v>17.333333333333332</v>
      </c>
      <c r="F87" s="67">
        <f t="shared" si="29"/>
        <v>5.5139729950900174</v>
      </c>
      <c r="G87" s="65">
        <f t="shared" si="35"/>
        <v>5.5139729950900174</v>
      </c>
      <c r="H87" s="67">
        <f t="shared" si="30"/>
        <v>4.255319148936171</v>
      </c>
      <c r="I87" s="68">
        <f t="shared" si="36"/>
        <v>3.8413461538461919E-4</v>
      </c>
      <c r="J87" s="75">
        <f t="shared" si="41"/>
        <v>2.9578365384615387E-2</v>
      </c>
      <c r="K87" s="200">
        <f t="shared" si="37"/>
        <v>29.578365384615388</v>
      </c>
      <c r="L87" s="157">
        <f t="shared" si="38"/>
        <v>0.77173376669152538</v>
      </c>
      <c r="M87" s="66">
        <f t="shared" si="31"/>
        <v>0.74080128205128204</v>
      </c>
      <c r="N87" s="66">
        <f t="shared" si="39"/>
        <v>9.3481877320281438E-3</v>
      </c>
      <c r="O87" s="66">
        <f t="shared" si="40"/>
        <v>24.335707737945363</v>
      </c>
      <c r="P87" s="66">
        <f t="shared" si="32"/>
        <v>43.116395135654045</v>
      </c>
      <c r="Q87" s="66">
        <f t="shared" si="33"/>
        <v>12.597778114377441</v>
      </c>
    </row>
    <row r="88" spans="1:17" ht="12.75">
      <c r="A88" s="66">
        <f t="shared" si="26"/>
        <v>17</v>
      </c>
      <c r="B88" s="69">
        <f t="shared" si="27"/>
        <v>12.75</v>
      </c>
      <c r="C88" s="67">
        <f t="shared" si="28"/>
        <v>1.2749999999999999</v>
      </c>
      <c r="D88" s="206">
        <f>B2</f>
        <v>187.33333333333331</v>
      </c>
      <c r="E88" s="65">
        <f t="shared" si="34"/>
        <v>17.333333333333332</v>
      </c>
      <c r="F88" s="67">
        <f t="shared" si="29"/>
        <v>5.5303191489361705</v>
      </c>
      <c r="G88" s="65">
        <f t="shared" si="35"/>
        <v>5.5303191489361705</v>
      </c>
      <c r="H88" s="67">
        <f t="shared" si="30"/>
        <v>4.2553191489361701</v>
      </c>
      <c r="I88" s="68">
        <f t="shared" si="36"/>
        <v>3.8413461538461507E-4</v>
      </c>
      <c r="J88" s="75">
        <f t="shared" si="41"/>
        <v>2.9962500000000003E-2</v>
      </c>
      <c r="K88" s="200">
        <f t="shared" si="37"/>
        <v>29.962500000000002</v>
      </c>
      <c r="L88" s="157">
        <f t="shared" si="38"/>
        <v>0.76945272674810039</v>
      </c>
      <c r="M88" s="66">
        <f t="shared" si="31"/>
        <v>0.73916666666666664</v>
      </c>
      <c r="N88" s="66">
        <f t="shared" si="39"/>
        <v>9.028644831730763E-3</v>
      </c>
      <c r="O88" s="66">
        <f t="shared" si="40"/>
        <v>23.503856382978725</v>
      </c>
      <c r="P88" s="66">
        <f t="shared" si="32"/>
        <v>41.588962765957454</v>
      </c>
      <c r="Q88" s="66">
        <f t="shared" si="33"/>
        <v>12.200664893617022</v>
      </c>
    </row>
    <row r="89" spans="1:17" ht="12.75">
      <c r="A89" s="66">
        <f t="shared" si="26"/>
        <v>17</v>
      </c>
      <c r="B89" s="69">
        <f t="shared" si="27"/>
        <v>12.913461538461538</v>
      </c>
      <c r="C89" s="67">
        <f t="shared" si="28"/>
        <v>1.2913461538461539</v>
      </c>
      <c r="D89" s="206">
        <f>B2</f>
        <v>187.33333333333331</v>
      </c>
      <c r="E89" s="65">
        <f t="shared" si="34"/>
        <v>17.333333333333332</v>
      </c>
      <c r="F89" s="67">
        <f t="shared" si="29"/>
        <v>5.5466653027823245</v>
      </c>
      <c r="G89" s="65">
        <f t="shared" si="35"/>
        <v>5.5466653027823245</v>
      </c>
      <c r="H89" s="67">
        <f t="shared" si="30"/>
        <v>4.2553191489361701</v>
      </c>
      <c r="I89" s="68">
        <f t="shared" si="36"/>
        <v>3.8413461538461507E-4</v>
      </c>
      <c r="J89" s="75">
        <f t="shared" si="41"/>
        <v>3.0346634615384619E-2</v>
      </c>
      <c r="K89" s="200">
        <f t="shared" si="37"/>
        <v>30.34663461538462</v>
      </c>
      <c r="L89" s="157">
        <f t="shared" si="38"/>
        <v>0.76718513136201172</v>
      </c>
      <c r="M89" s="66">
        <f t="shared" si="31"/>
        <v>0.73753205128205124</v>
      </c>
      <c r="N89" s="66">
        <f t="shared" si="39"/>
        <v>8.7070491410517117E-3</v>
      </c>
      <c r="O89" s="66">
        <f t="shared" si="40"/>
        <v>22.666661093100846</v>
      </c>
      <c r="P89" s="66">
        <f t="shared" si="32"/>
        <v>40.056186461349625</v>
      </c>
      <c r="Q89" s="66">
        <f t="shared" si="33"/>
        <v>11.798207737945363</v>
      </c>
    </row>
    <row r="90" spans="1:17" ht="12.75">
      <c r="A90" s="66">
        <f t="shared" si="26"/>
        <v>17</v>
      </c>
      <c r="B90" s="69">
        <f t="shared" si="27"/>
        <v>13.076923076923078</v>
      </c>
      <c r="C90" s="67">
        <f t="shared" si="28"/>
        <v>1.3076923076923079</v>
      </c>
      <c r="D90" s="206">
        <f>B2</f>
        <v>187.33333333333331</v>
      </c>
      <c r="E90" s="65">
        <f t="shared" si="34"/>
        <v>17.333333333333332</v>
      </c>
      <c r="F90" s="67">
        <f t="shared" si="29"/>
        <v>5.5630114566284785</v>
      </c>
      <c r="G90" s="65">
        <f t="shared" si="35"/>
        <v>5.5630114566284785</v>
      </c>
      <c r="H90" s="67">
        <f t="shared" si="30"/>
        <v>4.2553191489361701</v>
      </c>
      <c r="I90" s="68">
        <f t="shared" si="36"/>
        <v>3.8413461538461924E-4</v>
      </c>
      <c r="J90" s="75">
        <f t="shared" si="41"/>
        <v>3.0730769230769239E-2</v>
      </c>
      <c r="K90" s="200">
        <f t="shared" si="37"/>
        <v>30.730769230769237</v>
      </c>
      <c r="L90" s="157">
        <f t="shared" si="38"/>
        <v>0.76493086201824056</v>
      </c>
      <c r="M90" s="66">
        <f t="shared" si="31"/>
        <v>0.73589743589743573</v>
      </c>
      <c r="N90" s="66">
        <f t="shared" si="39"/>
        <v>8.3834006599909795E-3</v>
      </c>
      <c r="O90" s="66">
        <f t="shared" si="40"/>
        <v>21.824121868311714</v>
      </c>
      <c r="P90" s="66">
        <f t="shared" si="32"/>
        <v>38.518066221830537</v>
      </c>
      <c r="Q90" s="66">
        <f t="shared" si="33"/>
        <v>11.390406647362456</v>
      </c>
    </row>
    <row r="91" spans="1:17" ht="12.75">
      <c r="A91" s="66">
        <f t="shared" si="26"/>
        <v>17</v>
      </c>
      <c r="B91" s="69">
        <f t="shared" si="27"/>
        <v>13.240384615384615</v>
      </c>
      <c r="C91" s="67">
        <f t="shared" si="28"/>
        <v>1.3240384615384615</v>
      </c>
      <c r="D91" s="206">
        <f>B2</f>
        <v>187.33333333333331</v>
      </c>
      <c r="E91" s="65">
        <f t="shared" si="34"/>
        <v>17.333333333333332</v>
      </c>
      <c r="F91" s="67">
        <f t="shared" si="29"/>
        <v>5.5793576104746325</v>
      </c>
      <c r="G91" s="65">
        <f t="shared" si="35"/>
        <v>5.5793576104746325</v>
      </c>
      <c r="H91" s="67">
        <f t="shared" si="30"/>
        <v>4.255319148936171</v>
      </c>
      <c r="I91" s="68">
        <f t="shared" si="36"/>
        <v>3.8413461538461079E-4</v>
      </c>
      <c r="J91" s="75">
        <f t="shared" si="41"/>
        <v>3.1114903846153848E-2</v>
      </c>
      <c r="K91" s="200">
        <f t="shared" si="37"/>
        <v>31.114903846153847</v>
      </c>
      <c r="L91" s="157">
        <f t="shared" si="38"/>
        <v>0.76268980159064825</v>
      </c>
      <c r="M91" s="66">
        <f t="shared" si="31"/>
        <v>0.73426282051282055</v>
      </c>
      <c r="N91" s="66">
        <f t="shared" si="39"/>
        <v>8.0576993885482107E-3</v>
      </c>
      <c r="O91" s="66">
        <f t="shared" si="40"/>
        <v>20.976238708611362</v>
      </c>
      <c r="P91" s="66">
        <f t="shared" si="32"/>
        <v>36.974602047400239</v>
      </c>
      <c r="Q91" s="66">
        <f t="shared" si="33"/>
        <v>10.977261621868314</v>
      </c>
    </row>
    <row r="92" spans="1:17" ht="12.75">
      <c r="A92" s="66">
        <f t="shared" si="26"/>
        <v>17</v>
      </c>
      <c r="B92" s="69">
        <f t="shared" si="27"/>
        <v>13.403846153846153</v>
      </c>
      <c r="C92" s="67">
        <f t="shared" si="28"/>
        <v>1.3403846153846153</v>
      </c>
      <c r="D92" s="206">
        <f>B2</f>
        <v>187.33333333333331</v>
      </c>
      <c r="E92" s="65">
        <f t="shared" si="34"/>
        <v>17.333333333333332</v>
      </c>
      <c r="F92" s="67">
        <f t="shared" si="29"/>
        <v>5.5957037643207865</v>
      </c>
      <c r="G92" s="65">
        <f t="shared" si="35"/>
        <v>5.5957037643207865</v>
      </c>
      <c r="H92" s="67">
        <f t="shared" si="30"/>
        <v>4.255319148936171</v>
      </c>
      <c r="I92" s="68">
        <f t="shared" si="36"/>
        <v>3.8413461538461496E-4</v>
      </c>
      <c r="J92" s="75">
        <f t="shared" si="41"/>
        <v>3.149903846153846E-2</v>
      </c>
      <c r="K92" s="200">
        <f t="shared" si="37"/>
        <v>31.499038461538461</v>
      </c>
      <c r="L92" s="157">
        <f t="shared" si="38"/>
        <v>0.76046183432169001</v>
      </c>
      <c r="M92" s="66">
        <f t="shared" si="31"/>
        <v>0.73262820512820515</v>
      </c>
      <c r="N92" s="66">
        <f t="shared" si="39"/>
        <v>7.7299453267239355E-3</v>
      </c>
      <c r="O92" s="66">
        <f t="shared" si="40"/>
        <v>20.123011613999754</v>
      </c>
      <c r="P92" s="66">
        <f t="shared" si="32"/>
        <v>35.425793938058675</v>
      </c>
      <c r="Q92" s="66">
        <f t="shared" si="33"/>
        <v>10.558772661462926</v>
      </c>
    </row>
    <row r="93" spans="1:17" ht="12.75">
      <c r="A93" s="66">
        <f t="shared" si="26"/>
        <v>17</v>
      </c>
      <c r="B93" s="69">
        <f t="shared" si="27"/>
        <v>13.567307692307693</v>
      </c>
      <c r="C93" s="67">
        <f t="shared" si="28"/>
        <v>1.3567307692307693</v>
      </c>
      <c r="D93" s="206">
        <f>B2</f>
        <v>187.33333333333331</v>
      </c>
      <c r="E93" s="65">
        <f t="shared" si="34"/>
        <v>17.333333333333332</v>
      </c>
      <c r="F93" s="67">
        <f t="shared" si="29"/>
        <v>5.6120499181669405</v>
      </c>
      <c r="G93" s="65">
        <f t="shared" si="35"/>
        <v>5.6120499181669405</v>
      </c>
      <c r="H93" s="67">
        <f t="shared" si="30"/>
        <v>4.255319148936171</v>
      </c>
      <c r="I93" s="68">
        <f t="shared" si="36"/>
        <v>3.8413461538461919E-4</v>
      </c>
      <c r="J93" s="75">
        <f t="shared" si="41"/>
        <v>3.188317307692308E-2</v>
      </c>
      <c r="K93" s="200">
        <f t="shared" si="37"/>
        <v>31.883173076923079</v>
      </c>
      <c r="L93" s="157">
        <f t="shared" si="38"/>
        <v>0.75824684580248403</v>
      </c>
      <c r="M93" s="66">
        <f t="shared" si="31"/>
        <v>0.73099358974358963</v>
      </c>
      <c r="N93" s="66">
        <f t="shared" si="39"/>
        <v>7.4001384745178813E-3</v>
      </c>
      <c r="O93" s="66">
        <f t="shared" si="40"/>
        <v>19.264440584476894</v>
      </c>
      <c r="P93" s="66">
        <f t="shared" si="32"/>
        <v>33.871641893805858</v>
      </c>
      <c r="Q93" s="66">
        <f t="shared" si="33"/>
        <v>10.134939766146292</v>
      </c>
    </row>
    <row r="94" spans="1:17" ht="12.75">
      <c r="A94" s="66">
        <f t="shared" si="26"/>
        <v>17</v>
      </c>
      <c r="B94" s="69">
        <f t="shared" si="27"/>
        <v>13.730769230769232</v>
      </c>
      <c r="C94" s="67">
        <f t="shared" si="28"/>
        <v>1.3730769230769231</v>
      </c>
      <c r="D94" s="206">
        <f>B2</f>
        <v>187.33333333333331</v>
      </c>
      <c r="E94" s="65">
        <f t="shared" si="34"/>
        <v>17.333333333333332</v>
      </c>
      <c r="F94" s="67">
        <f t="shared" si="29"/>
        <v>5.6283960720130946</v>
      </c>
      <c r="G94" s="65">
        <f t="shared" si="35"/>
        <v>5.6283960720130946</v>
      </c>
      <c r="H94" s="67">
        <f t="shared" si="30"/>
        <v>4.2553191489361719</v>
      </c>
      <c r="I94" s="68">
        <f t="shared" si="36"/>
        <v>3.8413461538461491E-4</v>
      </c>
      <c r="J94" s="75">
        <f t="shared" si="41"/>
        <v>3.2267307692307692E-2</v>
      </c>
      <c r="K94" s="200">
        <f t="shared" si="37"/>
        <v>32.267307692307689</v>
      </c>
      <c r="L94" s="157">
        <f t="shared" si="38"/>
        <v>0.75604472295322711</v>
      </c>
      <c r="M94" s="66">
        <f t="shared" si="31"/>
        <v>0.72935897435897445</v>
      </c>
      <c r="N94" s="66">
        <f t="shared" si="39"/>
        <v>7.0682788319298955E-3</v>
      </c>
      <c r="O94" s="66">
        <f t="shared" si="40"/>
        <v>18.400525620042803</v>
      </c>
      <c r="P94" s="66">
        <f t="shared" si="32"/>
        <v>32.312145914641818</v>
      </c>
      <c r="Q94" s="66">
        <f t="shared" si="33"/>
        <v>9.7057629359184165</v>
      </c>
    </row>
    <row r="95" spans="1:17" ht="12.75">
      <c r="A95" s="66">
        <f t="shared" si="26"/>
        <v>17</v>
      </c>
      <c r="B95" s="69">
        <f t="shared" si="27"/>
        <v>13.894230769230768</v>
      </c>
      <c r="C95" s="67">
        <f t="shared" si="28"/>
        <v>1.3894230769230769</v>
      </c>
      <c r="D95" s="206">
        <f>B2</f>
        <v>187.33333333333331</v>
      </c>
      <c r="E95" s="65">
        <f t="shared" si="34"/>
        <v>17.333333333333332</v>
      </c>
      <c r="F95" s="67">
        <f t="shared" si="29"/>
        <v>5.6447422258592477</v>
      </c>
      <c r="G95" s="65">
        <f t="shared" si="35"/>
        <v>5.6447422258592477</v>
      </c>
      <c r="H95" s="67">
        <f t="shared" si="30"/>
        <v>4.255319148936171</v>
      </c>
      <c r="I95" s="68">
        <f t="shared" si="36"/>
        <v>3.8413461538461079E-4</v>
      </c>
      <c r="J95" s="75">
        <f t="shared" si="41"/>
        <v>3.2651442307692305E-2</v>
      </c>
      <c r="K95" s="200">
        <f t="shared" si="37"/>
        <v>32.651442307692307</v>
      </c>
      <c r="L95" s="157">
        <f t="shared" si="38"/>
        <v>0.75385535400395054</v>
      </c>
      <c r="M95" s="66">
        <f t="shared" si="31"/>
        <v>0.72772435897435894</v>
      </c>
      <c r="N95" s="66">
        <f t="shared" si="39"/>
        <v>6.7343663989601517E-3</v>
      </c>
      <c r="O95" s="66">
        <f t="shared" si="40"/>
        <v>17.531266720697477</v>
      </c>
      <c r="P95" s="66">
        <f t="shared" si="32"/>
        <v>30.747306000566549</v>
      </c>
      <c r="Q95" s="66">
        <f t="shared" si="33"/>
        <v>9.2712421707793062</v>
      </c>
    </row>
    <row r="96" spans="1:17" ht="12.75">
      <c r="A96" s="66">
        <f t="shared" si="26"/>
        <v>17</v>
      </c>
      <c r="B96" s="69">
        <f t="shared" si="27"/>
        <v>14.057692307692307</v>
      </c>
      <c r="C96" s="67">
        <f t="shared" si="28"/>
        <v>1.4057692307692307</v>
      </c>
      <c r="D96" s="206">
        <f>B2</f>
        <v>187.33333333333331</v>
      </c>
      <c r="E96" s="65">
        <f t="shared" si="34"/>
        <v>17.333333333333332</v>
      </c>
      <c r="F96" s="67">
        <f t="shared" si="29"/>
        <v>5.6610883797054017</v>
      </c>
      <c r="G96" s="65">
        <f t="shared" si="35"/>
        <v>5.6610883797054017</v>
      </c>
      <c r="H96" s="67">
        <f t="shared" si="30"/>
        <v>4.255319148936171</v>
      </c>
      <c r="I96" s="68">
        <f t="shared" si="36"/>
        <v>3.8413461538461496E-4</v>
      </c>
      <c r="J96" s="75">
        <f t="shared" si="41"/>
        <v>3.3035576923076918E-2</v>
      </c>
      <c r="K96" s="200">
        <f t="shared" si="37"/>
        <v>33.035576923076917</v>
      </c>
      <c r="L96" s="157">
        <f t="shared" si="38"/>
        <v>0.75167862847561029</v>
      </c>
      <c r="M96" s="66">
        <f t="shared" si="31"/>
        <v>0.72608974358974354</v>
      </c>
      <c r="N96" s="66">
        <f t="shared" si="39"/>
        <v>6.3984011756087807E-3</v>
      </c>
      <c r="O96" s="66">
        <f t="shared" si="40"/>
        <v>16.656663886440899</v>
      </c>
      <c r="P96" s="66">
        <f t="shared" si="32"/>
        <v>29.177122151580022</v>
      </c>
      <c r="Q96" s="66">
        <f t="shared" si="33"/>
        <v>8.8313774707289472</v>
      </c>
    </row>
    <row r="97" spans="1:17" ht="12.75">
      <c r="A97" s="66">
        <f t="shared" si="26"/>
        <v>17</v>
      </c>
      <c r="B97" s="69">
        <f t="shared" si="27"/>
        <v>14.221153846153847</v>
      </c>
      <c r="C97" s="67">
        <f t="shared" si="28"/>
        <v>1.4221153846153847</v>
      </c>
      <c r="D97" s="206">
        <f>B2</f>
        <v>187.33333333333331</v>
      </c>
      <c r="E97" s="65">
        <f t="shared" si="34"/>
        <v>17.333333333333332</v>
      </c>
      <c r="F97" s="67">
        <f t="shared" si="29"/>
        <v>5.6774345335515557</v>
      </c>
      <c r="G97" s="65">
        <f t="shared" si="35"/>
        <v>5.6774345335515557</v>
      </c>
      <c r="H97" s="67">
        <f t="shared" si="30"/>
        <v>4.255319148936171</v>
      </c>
      <c r="I97" s="68">
        <f t="shared" si="36"/>
        <v>3.8413461538461919E-4</v>
      </c>
      <c r="J97" s="75">
        <f t="shared" si="41"/>
        <v>3.3419711538461537E-2</v>
      </c>
      <c r="K97" s="200">
        <f t="shared" si="37"/>
        <v>33.419711538461534</v>
      </c>
      <c r="L97" s="157">
        <f t="shared" si="38"/>
        <v>0.74951443716150234</v>
      </c>
      <c r="M97" s="66">
        <f t="shared" si="31"/>
        <v>0.72445512820512825</v>
      </c>
      <c r="N97" s="66">
        <f t="shared" si="39"/>
        <v>6.0603831618756283E-3</v>
      </c>
      <c r="O97" s="66">
        <f t="shared" si="40"/>
        <v>15.776717117273069</v>
      </c>
      <c r="P97" s="66">
        <f t="shared" si="32"/>
        <v>27.601594367682235</v>
      </c>
      <c r="Q97" s="66">
        <f t="shared" si="33"/>
        <v>8.3861688357673412</v>
      </c>
    </row>
    <row r="98" spans="1:17" ht="12.75">
      <c r="A98" s="66">
        <f t="shared" si="26"/>
        <v>17</v>
      </c>
      <c r="B98" s="69">
        <f t="shared" si="27"/>
        <v>14.384615384615385</v>
      </c>
      <c r="C98" s="67">
        <f t="shared" si="28"/>
        <v>1.4384615384615385</v>
      </c>
      <c r="D98" s="206">
        <f>B2</f>
        <v>187.33333333333331</v>
      </c>
      <c r="E98" s="65">
        <f t="shared" si="34"/>
        <v>17.333333333333332</v>
      </c>
      <c r="F98" s="67">
        <f t="shared" si="29"/>
        <v>5.6937806873977097</v>
      </c>
      <c r="G98" s="65">
        <f t="shared" si="35"/>
        <v>5.6937806873977097</v>
      </c>
      <c r="H98" s="67">
        <f t="shared" si="30"/>
        <v>4.255319148936171</v>
      </c>
      <c r="I98" s="68">
        <f t="shared" si="36"/>
        <v>3.8413461538461496E-4</v>
      </c>
      <c r="J98" s="75">
        <f t="shared" si="41"/>
        <v>3.380384615384615E-2</v>
      </c>
      <c r="K98" s="200">
        <f t="shared" si="37"/>
        <v>33.803846153846152</v>
      </c>
      <c r="L98" s="157">
        <f t="shared" si="38"/>
        <v>0.74736267210899998</v>
      </c>
      <c r="M98" s="66">
        <f t="shared" si="31"/>
        <v>0.72282051282051274</v>
      </c>
      <c r="N98" s="66">
        <f t="shared" si="39"/>
        <v>5.7203123577605763E-3</v>
      </c>
      <c r="O98" s="66">
        <f t="shared" si="40"/>
        <v>14.891426413194008</v>
      </c>
      <c r="P98" s="66">
        <f t="shared" si="32"/>
        <v>26.020722648873221</v>
      </c>
      <c r="Q98" s="66">
        <f t="shared" si="33"/>
        <v>7.9356162658944989</v>
      </c>
    </row>
    <row r="99" spans="1:17" ht="12.75">
      <c r="A99" s="66">
        <f t="shared" si="26"/>
        <v>17</v>
      </c>
      <c r="B99" s="69">
        <f t="shared" si="27"/>
        <v>14.548076923076922</v>
      </c>
      <c r="C99" s="67">
        <f t="shared" si="28"/>
        <v>1.4548076923076922</v>
      </c>
      <c r="D99" s="206">
        <f>B2</f>
        <v>187.33333333333331</v>
      </c>
      <c r="E99" s="65">
        <f t="shared" si="34"/>
        <v>17.333333333333332</v>
      </c>
      <c r="F99" s="67">
        <f t="shared" si="29"/>
        <v>5.7101268412438628</v>
      </c>
      <c r="G99" s="65">
        <f t="shared" si="35"/>
        <v>5.7101268412438628</v>
      </c>
      <c r="H99" s="67">
        <f t="shared" si="30"/>
        <v>4.2553191489361701</v>
      </c>
      <c r="I99" s="68">
        <f t="shared" si="36"/>
        <v>3.841346153846109E-4</v>
      </c>
      <c r="J99" s="75">
        <f t="shared" si="41"/>
        <v>3.4187980769230762E-2</v>
      </c>
      <c r="K99" s="200">
        <f t="shared" si="37"/>
        <v>34.187980769230762</v>
      </c>
      <c r="L99" s="157">
        <f t="shared" si="38"/>
        <v>0.74522322660160289</v>
      </c>
      <c r="M99" s="66">
        <f t="shared" si="31"/>
        <v>0.72118589743589734</v>
      </c>
      <c r="N99" s="66">
        <f t="shared" si="39"/>
        <v>5.3781887632637663E-3</v>
      </c>
      <c r="O99" s="66">
        <f t="shared" si="40"/>
        <v>14.00079177420371</v>
      </c>
      <c r="P99" s="66">
        <f t="shared" si="32"/>
        <v>24.434506995152987</v>
      </c>
      <c r="Q99" s="66">
        <f t="shared" si="33"/>
        <v>7.4797197611104167</v>
      </c>
    </row>
    <row r="100" spans="1:17" ht="12.75">
      <c r="A100" s="66">
        <f t="shared" si="26"/>
        <v>17</v>
      </c>
      <c r="B100" s="69">
        <f t="shared" si="27"/>
        <v>14.711538461538462</v>
      </c>
      <c r="C100" s="67">
        <f t="shared" si="28"/>
        <v>1.4711538461538463</v>
      </c>
      <c r="D100" s="206">
        <f>B2</f>
        <v>187.33333333333331</v>
      </c>
      <c r="E100" s="65">
        <f t="shared" si="34"/>
        <v>17.333333333333332</v>
      </c>
      <c r="F100" s="67">
        <f t="shared" si="29"/>
        <v>5.7264729950900168</v>
      </c>
      <c r="G100" s="65">
        <f t="shared" si="35"/>
        <v>5.7264729950900168</v>
      </c>
      <c r="H100" s="67">
        <f t="shared" si="30"/>
        <v>4.2553191489361701</v>
      </c>
      <c r="I100" s="68">
        <f t="shared" si="36"/>
        <v>3.8413461538461924E-4</v>
      </c>
      <c r="J100" s="75">
        <f t="shared" si="41"/>
        <v>3.4572115384615382E-2</v>
      </c>
      <c r="K100" s="200">
        <f t="shared" si="37"/>
        <v>34.57211538461538</v>
      </c>
      <c r="L100" s="157">
        <f t="shared" si="38"/>
        <v>0.74309599514129532</v>
      </c>
      <c r="M100" s="66">
        <f t="shared" si="31"/>
        <v>0.71955128205128194</v>
      </c>
      <c r="N100" s="66">
        <f t="shared" si="39"/>
        <v>5.0340123783853491E-3</v>
      </c>
      <c r="O100" s="66">
        <f t="shared" si="40"/>
        <v>13.104813200302154</v>
      </c>
      <c r="P100" s="66">
        <f t="shared" si="32"/>
        <v>22.842947406521468</v>
      </c>
      <c r="Q100" s="66">
        <f t="shared" si="33"/>
        <v>7.0184793214150831</v>
      </c>
    </row>
    <row r="101" spans="1:17" ht="12.75">
      <c r="A101" s="66">
        <f t="shared" si="26"/>
        <v>17</v>
      </c>
      <c r="B101" s="69">
        <f t="shared" si="27"/>
        <v>14.875</v>
      </c>
      <c r="C101" s="67">
        <f t="shared" si="28"/>
        <v>1.4875</v>
      </c>
      <c r="D101" s="206">
        <f>B2</f>
        <v>187.33333333333331</v>
      </c>
      <c r="E101" s="65">
        <f t="shared" si="34"/>
        <v>17.333333333333332</v>
      </c>
      <c r="F101" s="67">
        <f t="shared" si="29"/>
        <v>5.7428191489361708</v>
      </c>
      <c r="G101" s="65">
        <f t="shared" si="35"/>
        <v>5.7428191489361708</v>
      </c>
      <c r="H101" s="67">
        <f t="shared" si="30"/>
        <v>4.255319148936171</v>
      </c>
      <c r="I101" s="68">
        <f t="shared" si="36"/>
        <v>3.8413461538461496E-4</v>
      </c>
      <c r="J101" s="75">
        <f t="shared" si="41"/>
        <v>3.4956249999999994E-2</v>
      </c>
      <c r="K101" s="200">
        <f t="shared" si="37"/>
        <v>34.956249999999997</v>
      </c>
      <c r="L101" s="157">
        <f t="shared" si="38"/>
        <v>0.74098087343120467</v>
      </c>
      <c r="M101" s="66">
        <f t="shared" si="31"/>
        <v>0.71791666666666665</v>
      </c>
      <c r="N101" s="66">
        <f t="shared" si="39"/>
        <v>4.6877832031249952E-3</v>
      </c>
      <c r="O101" s="66">
        <f t="shared" si="40"/>
        <v>12.203490691489364</v>
      </c>
      <c r="P101" s="66">
        <f t="shared" si="32"/>
        <v>21.246043882978729</v>
      </c>
      <c r="Q101" s="66">
        <f t="shared" si="33"/>
        <v>6.5518949468085115</v>
      </c>
    </row>
    <row r="102" spans="1:17" ht="12.75">
      <c r="A102" s="66">
        <f t="shared" si="26"/>
        <v>17</v>
      </c>
      <c r="B102" s="69">
        <f t="shared" si="27"/>
        <v>15.038461538461538</v>
      </c>
      <c r="C102" s="67">
        <f t="shared" si="28"/>
        <v>1.5038461538461538</v>
      </c>
      <c r="D102" s="206">
        <f>B2</f>
        <v>187.33333333333331</v>
      </c>
      <c r="E102" s="65">
        <f t="shared" si="34"/>
        <v>17.333333333333332</v>
      </c>
      <c r="F102" s="67">
        <f t="shared" si="29"/>
        <v>5.7591653027823249</v>
      </c>
      <c r="G102" s="65">
        <f t="shared" si="35"/>
        <v>5.7591653027823249</v>
      </c>
      <c r="H102" s="67">
        <f t="shared" si="30"/>
        <v>4.255319148936171</v>
      </c>
      <c r="I102" s="68">
        <f t="shared" si="36"/>
        <v>3.8413461538461496E-4</v>
      </c>
      <c r="J102" s="75">
        <f t="shared" si="41"/>
        <v>3.5340384615384607E-2</v>
      </c>
      <c r="K102" s="200">
        <f t="shared" si="37"/>
        <v>35.340384615384608</v>
      </c>
      <c r="L102" s="157">
        <f t="shared" si="38"/>
        <v>0.73887775835855463</v>
      </c>
      <c r="M102" s="66">
        <f t="shared" si="31"/>
        <v>0.71628205128205125</v>
      </c>
      <c r="N102" s="66">
        <f t="shared" si="39"/>
        <v>4.3395012374829274E-3</v>
      </c>
      <c r="O102" s="66">
        <f t="shared" si="40"/>
        <v>11.296824247765331</v>
      </c>
      <c r="P102" s="66">
        <f t="shared" si="32"/>
        <v>19.643796424524741</v>
      </c>
      <c r="Q102" s="66">
        <f t="shared" si="33"/>
        <v>6.0799666372906973</v>
      </c>
    </row>
    <row r="103" spans="1:17" ht="12.75">
      <c r="A103" s="66">
        <f t="shared" si="26"/>
        <v>17</v>
      </c>
      <c r="B103" s="69">
        <f t="shared" si="27"/>
        <v>15.201923076923078</v>
      </c>
      <c r="C103" s="67">
        <f t="shared" si="28"/>
        <v>1.5201923076923078</v>
      </c>
      <c r="D103" s="206">
        <f>B2</f>
        <v>187.33333333333331</v>
      </c>
      <c r="E103" s="65">
        <f t="shared" si="34"/>
        <v>17.333333333333332</v>
      </c>
      <c r="F103" s="67">
        <f t="shared" si="29"/>
        <v>5.7755114566284789</v>
      </c>
      <c r="G103" s="65">
        <f t="shared" si="35"/>
        <v>5.7755114566284789</v>
      </c>
      <c r="H103" s="67">
        <f t="shared" si="30"/>
        <v>4.255319148936171</v>
      </c>
      <c r="I103" s="68">
        <f t="shared" si="36"/>
        <v>3.8413461538461919E-4</v>
      </c>
      <c r="J103" s="75">
        <f t="shared" si="41"/>
        <v>3.5724519230769226E-2</v>
      </c>
      <c r="K103" s="200">
        <f t="shared" si="37"/>
        <v>35.724519230769225</v>
      </c>
      <c r="L103" s="157">
        <f t="shared" si="38"/>
        <v>0.73678654797791054</v>
      </c>
      <c r="M103" s="66">
        <f t="shared" si="31"/>
        <v>0.71464743589743585</v>
      </c>
      <c r="N103" s="66">
        <f t="shared" si="39"/>
        <v>3.9891664814591284E-3</v>
      </c>
      <c r="O103" s="66">
        <f t="shared" si="40"/>
        <v>10.384813869130044</v>
      </c>
      <c r="P103" s="66">
        <f t="shared" si="32"/>
        <v>18.036205031159497</v>
      </c>
      <c r="Q103" s="66">
        <f t="shared" si="33"/>
        <v>5.6026943928616353</v>
      </c>
    </row>
    <row r="104" spans="1:17" ht="12.75">
      <c r="A104" s="66">
        <f t="shared" si="26"/>
        <v>17</v>
      </c>
      <c r="B104" s="69">
        <f t="shared" si="27"/>
        <v>15.365384615384615</v>
      </c>
      <c r="C104" s="67">
        <f t="shared" si="28"/>
        <v>1.5365384615384614</v>
      </c>
      <c r="D104" s="206">
        <f>B2</f>
        <v>187.33333333333331</v>
      </c>
      <c r="E104" s="65">
        <f t="shared" si="34"/>
        <v>17.333333333333332</v>
      </c>
      <c r="F104" s="67">
        <f t="shared" si="29"/>
        <v>5.7918576104746329</v>
      </c>
      <c r="G104" s="65">
        <f t="shared" si="35"/>
        <v>5.7918576104746329</v>
      </c>
      <c r="H104" s="67">
        <f t="shared" si="30"/>
        <v>4.2553191489361719</v>
      </c>
      <c r="I104" s="68">
        <f t="shared" si="36"/>
        <v>3.8413461538461073E-4</v>
      </c>
      <c r="J104" s="75">
        <f t="shared" si="41"/>
        <v>3.6108653846153839E-2</v>
      </c>
      <c r="K104" s="200">
        <f t="shared" si="37"/>
        <v>36.108653846153842</v>
      </c>
      <c r="L104" s="157">
        <f t="shared" si="38"/>
        <v>0.73470714149470528</v>
      </c>
      <c r="M104" s="66">
        <f t="shared" si="31"/>
        <v>0.71301282051282056</v>
      </c>
      <c r="N104" s="66">
        <f t="shared" si="39"/>
        <v>3.6367789350534394E-3</v>
      </c>
      <c r="O104" s="66">
        <f t="shared" si="40"/>
        <v>9.4674595555835364</v>
      </c>
      <c r="P104" s="66">
        <f t="shared" si="32"/>
        <v>16.423269702883047</v>
      </c>
      <c r="Q104" s="66">
        <f t="shared" si="33"/>
        <v>5.1200782135213414</v>
      </c>
    </row>
    <row r="105" spans="1:17" ht="12.75">
      <c r="A105" s="66">
        <f t="shared" si="26"/>
        <v>17</v>
      </c>
      <c r="B105" s="69">
        <f t="shared" si="27"/>
        <v>15.528846153846153</v>
      </c>
      <c r="C105" s="67">
        <f t="shared" si="28"/>
        <v>1.5528846153846154</v>
      </c>
      <c r="D105" s="206">
        <f>B2</f>
        <v>187.33333333333331</v>
      </c>
      <c r="E105" s="65">
        <f t="shared" si="34"/>
        <v>17.333333333333332</v>
      </c>
      <c r="F105" s="67">
        <f t="shared" si="29"/>
        <v>5.8082037643207869</v>
      </c>
      <c r="G105" s="65">
        <f t="shared" si="35"/>
        <v>5.8082037643207869</v>
      </c>
      <c r="H105" s="67">
        <f t="shared" si="30"/>
        <v>4.2553191489361719</v>
      </c>
      <c r="I105" s="68">
        <f t="shared" si="36"/>
        <v>3.8413461538461491E-4</v>
      </c>
      <c r="J105" s="75">
        <f t="shared" si="41"/>
        <v>3.6492788461538452E-2</v>
      </c>
      <c r="K105" s="200">
        <f t="shared" si="37"/>
        <v>36.492788461538453</v>
      </c>
      <c r="L105" s="157">
        <f t="shared" si="38"/>
        <v>0.73263943924904473</v>
      </c>
      <c r="M105" s="66">
        <f t="shared" si="31"/>
        <v>0.71137820512820515</v>
      </c>
      <c r="N105" s="66">
        <f t="shared" si="39"/>
        <v>3.2823385982660995E-3</v>
      </c>
      <c r="O105" s="66">
        <f t="shared" si="40"/>
        <v>8.5447613071257766</v>
      </c>
      <c r="P105" s="66">
        <f t="shared" si="32"/>
        <v>14.804990439695336</v>
      </c>
      <c r="Q105" s="66">
        <f t="shared" si="33"/>
        <v>4.6321180992697997</v>
      </c>
    </row>
    <row r="106" spans="1:17" ht="12.75">
      <c r="A106" s="66">
        <f t="shared" ref="A106:A114" si="42">VINMAX</f>
        <v>17</v>
      </c>
      <c r="B106" s="69">
        <f t="shared" ref="B106:B114" si="43">VINMAX*((ROW()-10)/104)</f>
        <v>15.692307692307693</v>
      </c>
      <c r="C106" s="67">
        <f t="shared" ref="C106:C110" si="44">IF(B106&gt;=$H$2,IF($D$2="CC", $G$2, B106/$G$2), 0)</f>
        <v>1.5692307692307694</v>
      </c>
      <c r="D106" s="206">
        <f>B2</f>
        <v>187.33333333333331</v>
      </c>
      <c r="E106" s="65">
        <f t="shared" si="34"/>
        <v>17.333333333333332</v>
      </c>
      <c r="F106" s="67">
        <f t="shared" ref="F106:F110" si="45">I_Cout_ss+C106</f>
        <v>5.8245499181669409</v>
      </c>
      <c r="G106" s="65">
        <f t="shared" si="35"/>
        <v>5.8245499181669409</v>
      </c>
      <c r="H106" s="67">
        <f t="shared" ref="H106:H110" si="46">G106-C106</f>
        <v>4.2553191489361719</v>
      </c>
      <c r="I106" s="68">
        <f t="shared" si="36"/>
        <v>3.8413461538461908E-4</v>
      </c>
      <c r="J106" s="75">
        <f t="shared" si="41"/>
        <v>3.6876923076923071E-2</v>
      </c>
      <c r="K106" s="200">
        <f t="shared" si="37"/>
        <v>36.87692307692307</v>
      </c>
      <c r="L106" s="157">
        <f t="shared" si="38"/>
        <v>0.73058334269978653</v>
      </c>
      <c r="M106" s="66">
        <f t="shared" ref="M106:M114" si="47">1/COUTMAX*(E106/2-C106)*1000</f>
        <v>0.70974358974358975</v>
      </c>
      <c r="N106" s="66">
        <f t="shared" si="39"/>
        <v>2.9258454710969772E-3</v>
      </c>
      <c r="O106" s="66">
        <f t="shared" si="40"/>
        <v>7.6167191237567629</v>
      </c>
      <c r="P106" s="66">
        <f t="shared" ref="P106:P114" si="48">(A106-B106)*(I_Cout_ss*$Q$2+C106)</f>
        <v>13.181367241596364</v>
      </c>
      <c r="Q106" s="66">
        <f t="shared" ref="Q106:Q114" si="49">(A106-B106)*(I_Cout_ss*$R$2+C106)</f>
        <v>4.1388140501070101</v>
      </c>
    </row>
    <row r="107" spans="1:17" ht="12.75">
      <c r="A107" s="66">
        <f t="shared" si="42"/>
        <v>17</v>
      </c>
      <c r="B107" s="69">
        <f t="shared" si="43"/>
        <v>15.855769230769232</v>
      </c>
      <c r="C107" s="67">
        <f t="shared" si="44"/>
        <v>1.5855769230769232</v>
      </c>
      <c r="D107" s="206">
        <f>B2</f>
        <v>187.33333333333331</v>
      </c>
      <c r="E107" s="65">
        <f t="shared" si="34"/>
        <v>17.333333333333332</v>
      </c>
      <c r="F107" s="67">
        <f t="shared" si="45"/>
        <v>5.840896072013094</v>
      </c>
      <c r="G107" s="65">
        <f t="shared" si="35"/>
        <v>5.840896072013094</v>
      </c>
      <c r="H107" s="67">
        <f t="shared" si="46"/>
        <v>4.255319148936171</v>
      </c>
      <c r="I107" s="68">
        <f t="shared" ref="I107:I110" si="50">(COUTMAX/1000000)*(B107-B106)/H107</f>
        <v>3.8413461538461496E-4</v>
      </c>
      <c r="J107" s="75">
        <f t="shared" si="41"/>
        <v>3.7261057692307684E-2</v>
      </c>
      <c r="K107" s="200">
        <f t="shared" si="37"/>
        <v>37.261057692307681</v>
      </c>
      <c r="L107" s="157">
        <f t="shared" si="38"/>
        <v>0.72853875440888538</v>
      </c>
      <c r="M107" s="66">
        <f t="shared" si="47"/>
        <v>0.70810897435897435</v>
      </c>
      <c r="N107" s="66">
        <f t="shared" si="39"/>
        <v>2.567299553546024E-3</v>
      </c>
      <c r="O107" s="66">
        <f t="shared" si="40"/>
        <v>6.6833330054765154</v>
      </c>
      <c r="P107" s="66">
        <f t="shared" si="48"/>
        <v>11.552400108586168</v>
      </c>
      <c r="Q107" s="66">
        <f t="shared" si="49"/>
        <v>3.6401660660329824</v>
      </c>
    </row>
    <row r="108" spans="1:17" ht="12.75">
      <c r="A108" s="66">
        <f t="shared" si="42"/>
        <v>17</v>
      </c>
      <c r="B108" s="69">
        <f t="shared" si="43"/>
        <v>16.01923076923077</v>
      </c>
      <c r="C108" s="67">
        <f t="shared" si="44"/>
        <v>1.601923076923077</v>
      </c>
      <c r="D108" s="206">
        <f>B2</f>
        <v>187.33333333333331</v>
      </c>
      <c r="E108" s="65">
        <f t="shared" si="34"/>
        <v>17.333333333333332</v>
      </c>
      <c r="F108" s="67">
        <f t="shared" si="45"/>
        <v>5.857242225859248</v>
      </c>
      <c r="G108" s="65">
        <f t="shared" si="35"/>
        <v>5.857242225859248</v>
      </c>
      <c r="H108" s="67">
        <f t="shared" si="46"/>
        <v>4.255319148936171</v>
      </c>
      <c r="I108" s="68">
        <f t="shared" si="50"/>
        <v>3.8413461538461496E-4</v>
      </c>
      <c r="J108" s="75">
        <f t="shared" si="41"/>
        <v>3.7645192307692296E-2</v>
      </c>
      <c r="K108" s="200">
        <f t="shared" si="37"/>
        <v>37.645192307692298</v>
      </c>
      <c r="L108" s="157">
        <f t="shared" si="38"/>
        <v>0.72650557802600058</v>
      </c>
      <c r="M108" s="66">
        <f t="shared" si="47"/>
        <v>0.70647435897435895</v>
      </c>
      <c r="N108" s="66">
        <f t="shared" si="39"/>
        <v>2.2067008456133326E-3</v>
      </c>
      <c r="O108" s="66">
        <f t="shared" si="40"/>
        <v>5.7446029522850273</v>
      </c>
      <c r="P108" s="66">
        <f t="shared" si="48"/>
        <v>9.9180890406647304</v>
      </c>
      <c r="Q108" s="66">
        <f t="shared" si="49"/>
        <v>3.1361741470477127</v>
      </c>
    </row>
    <row r="109" spans="1:17" ht="12.75">
      <c r="A109" s="66">
        <f t="shared" si="42"/>
        <v>17</v>
      </c>
      <c r="B109" s="69">
        <f t="shared" si="43"/>
        <v>16.182692307692307</v>
      </c>
      <c r="C109" s="67">
        <f t="shared" si="44"/>
        <v>1.6182692307692306</v>
      </c>
      <c r="D109" s="206">
        <f>B2</f>
        <v>187.33333333333331</v>
      </c>
      <c r="E109" s="65">
        <f t="shared" si="34"/>
        <v>17.333333333333332</v>
      </c>
      <c r="F109" s="67">
        <f t="shared" si="45"/>
        <v>5.8735883797054012</v>
      </c>
      <c r="G109" s="65">
        <f t="shared" si="35"/>
        <v>5.8735883797054012</v>
      </c>
      <c r="H109" s="67">
        <f t="shared" si="46"/>
        <v>4.2553191489361701</v>
      </c>
      <c r="I109" s="68">
        <f t="shared" si="50"/>
        <v>3.841346153846109E-4</v>
      </c>
      <c r="J109" s="75">
        <f t="shared" si="41"/>
        <v>3.8029326923076909E-2</v>
      </c>
      <c r="K109" s="200">
        <f t="shared" si="37"/>
        <v>38.029326923076908</v>
      </c>
      <c r="L109" s="157">
        <f t="shared" si="38"/>
        <v>0.72448371827336022</v>
      </c>
      <c r="M109" s="66">
        <f t="shared" si="47"/>
        <v>0.70483974358974355</v>
      </c>
      <c r="N109" s="66">
        <f t="shared" si="39"/>
        <v>1.8440493472988546E-3</v>
      </c>
      <c r="O109" s="66">
        <f t="shared" si="40"/>
        <v>4.8005289641823055</v>
      </c>
      <c r="P109" s="66">
        <f t="shared" si="48"/>
        <v>8.2784340378320653</v>
      </c>
      <c r="Q109" s="66">
        <f t="shared" si="49"/>
        <v>2.6268382931512062</v>
      </c>
    </row>
    <row r="110" spans="1:17" ht="12.75">
      <c r="A110" s="66">
        <f t="shared" si="42"/>
        <v>17</v>
      </c>
      <c r="B110" s="69">
        <f t="shared" si="43"/>
        <v>16.346153846153847</v>
      </c>
      <c r="C110" s="67">
        <f t="shared" si="44"/>
        <v>1.6346153846153846</v>
      </c>
      <c r="D110" s="206">
        <f>B2</f>
        <v>187.33333333333331</v>
      </c>
      <c r="E110" s="65">
        <f t="shared" si="34"/>
        <v>17.333333333333332</v>
      </c>
      <c r="F110" s="67">
        <f t="shared" si="45"/>
        <v>5.8899345335515552</v>
      </c>
      <c r="G110" s="65">
        <f t="shared" si="35"/>
        <v>5.8899345335515552</v>
      </c>
      <c r="H110" s="67">
        <f t="shared" si="46"/>
        <v>4.2553191489361701</v>
      </c>
      <c r="I110" s="68">
        <f t="shared" si="50"/>
        <v>3.8413461538461924E-4</v>
      </c>
      <c r="J110" s="75">
        <f t="shared" si="41"/>
        <v>3.8413461538461528E-2</v>
      </c>
      <c r="K110" s="200">
        <f t="shared" si="37"/>
        <v>38.413461538461526</v>
      </c>
      <c r="L110" s="157">
        <f t="shared" si="38"/>
        <v>0.7224730809308787</v>
      </c>
      <c r="M110" s="66">
        <f t="shared" si="47"/>
        <v>0.70320512820512804</v>
      </c>
      <c r="N110" s="66">
        <f t="shared" si="39"/>
        <v>1.4793450586026537E-3</v>
      </c>
      <c r="O110" s="66">
        <f t="shared" si="40"/>
        <v>3.8511110411683211</v>
      </c>
      <c r="P110" s="66">
        <f t="shared" si="48"/>
        <v>6.633435100088124</v>
      </c>
      <c r="Q110" s="66">
        <f t="shared" si="49"/>
        <v>2.1121585043434457</v>
      </c>
    </row>
    <row r="111" spans="1:17" ht="12.75">
      <c r="A111" s="66">
        <f t="shared" si="42"/>
        <v>17</v>
      </c>
      <c r="B111" s="69">
        <f t="shared" si="43"/>
        <v>16.509615384615383</v>
      </c>
      <c r="C111" s="67">
        <f>IF(B111&gt;=$H$2,IF($D$2="CC", $G$2, B111/$G$2), 0)</f>
        <v>1.6509615384615384</v>
      </c>
      <c r="D111" s="206">
        <f>B2</f>
        <v>187.33333333333331</v>
      </c>
      <c r="E111" s="65">
        <f>$C$2</f>
        <v>17.333333333333332</v>
      </c>
      <c r="F111" s="67">
        <f>I_Cout_ss+C111</f>
        <v>5.9062806873977092</v>
      </c>
      <c r="G111" s="65">
        <f>IF($F$2="YES", F111, E111)</f>
        <v>5.9062806873977092</v>
      </c>
      <c r="H111" s="67">
        <f>G111-C111</f>
        <v>4.255319148936171</v>
      </c>
      <c r="I111" s="68">
        <f>(COUTMAX/1000000)*(B111-B110)/H111</f>
        <v>3.8413461538461079E-4</v>
      </c>
      <c r="J111" s="75">
        <f>J110+I111</f>
        <v>3.8797596153846141E-2</v>
      </c>
      <c r="K111" s="200">
        <f t="shared" si="37"/>
        <v>38.797596153846143</v>
      </c>
      <c r="L111" s="157">
        <f>H111/G111</f>
        <v>0.72047357282152003</v>
      </c>
      <c r="M111" s="66">
        <f t="shared" si="47"/>
        <v>0.70157051282051286</v>
      </c>
      <c r="N111" s="66">
        <f>I111*G111*(A111-B111)</f>
        <v>1.1125879795246256E-3</v>
      </c>
      <c r="O111" s="66">
        <f t="shared" si="40"/>
        <v>2.8963491832431156</v>
      </c>
      <c r="P111" s="66">
        <f t="shared" si="48"/>
        <v>4.9830922274329748</v>
      </c>
      <c r="Q111" s="66">
        <f t="shared" si="49"/>
        <v>1.5921347806244537</v>
      </c>
    </row>
    <row r="112" spans="1:17" ht="12.75">
      <c r="A112" s="66">
        <f t="shared" si="42"/>
        <v>17</v>
      </c>
      <c r="B112" s="69">
        <f t="shared" si="43"/>
        <v>16.673076923076923</v>
      </c>
      <c r="C112" s="67">
        <f>IF(B112&gt;=$H$2,IF($D$2="CC", $G$2, B112/$G$2), 0)</f>
        <v>1.6673076923076924</v>
      </c>
      <c r="D112" s="206">
        <f>B2</f>
        <v>187.33333333333331</v>
      </c>
      <c r="E112" s="65">
        <f>$C$2</f>
        <v>17.333333333333332</v>
      </c>
      <c r="F112" s="67">
        <f t="shared" ref="F112:F113" si="51">I_Cout_ss+C112</f>
        <v>5.9226268412438632</v>
      </c>
      <c r="G112" s="65">
        <f t="shared" ref="G112:G113" si="52">IF($F$2="YES", F112, E112)</f>
        <v>5.9226268412438632</v>
      </c>
      <c r="H112" s="67">
        <f t="shared" ref="H112:H113" si="53">G112-C112</f>
        <v>4.255319148936171</v>
      </c>
      <c r="I112" s="68">
        <f t="shared" ref="I112:I113" si="54">(COUTMAX/1000000)*(B112-B111)/H112</f>
        <v>3.8413461538461919E-4</v>
      </c>
      <c r="J112" s="75">
        <f t="shared" ref="J112:J113" si="55">J111+I112</f>
        <v>3.918173076923076E-2</v>
      </c>
      <c r="K112" s="200">
        <f t="shared" si="37"/>
        <v>39.181730769230761</v>
      </c>
      <c r="L112" s="157">
        <f t="shared" ref="L112:L113" si="56">H112/G112</f>
        <v>0.71848510179690361</v>
      </c>
      <c r="M112" s="66">
        <f t="shared" si="47"/>
        <v>0.69993589743589746</v>
      </c>
      <c r="N112" s="66">
        <f t="shared" ref="N112:N113" si="57">I112*G112*(A112-B112)</f>
        <v>7.4377811006486809E-4</v>
      </c>
      <c r="O112" s="66">
        <f t="shared" si="40"/>
        <v>1.9362433904066461</v>
      </c>
      <c r="P112" s="66">
        <f t="shared" si="48"/>
        <v>3.327405419866547</v>
      </c>
      <c r="Q112" s="66">
        <f t="shared" si="49"/>
        <v>1.0667671219942079</v>
      </c>
    </row>
    <row r="113" spans="1:17" ht="12.75">
      <c r="A113" s="66">
        <f t="shared" si="42"/>
        <v>17</v>
      </c>
      <c r="B113" s="69">
        <f t="shared" si="43"/>
        <v>16.836538461538463</v>
      </c>
      <c r="C113" s="67">
        <f>IF(B113&gt;=$H$2,IF($D$2="CC", $G$2, B113/$G$2), 0)</f>
        <v>1.6836538461538464</v>
      </c>
      <c r="D113" s="206">
        <f>B2</f>
        <v>187.33333333333331</v>
      </c>
      <c r="E113" s="65">
        <f>$C$2</f>
        <v>17.333333333333332</v>
      </c>
      <c r="F113" s="67">
        <f t="shared" si="51"/>
        <v>5.9389729950900172</v>
      </c>
      <c r="G113" s="65">
        <f t="shared" si="52"/>
        <v>5.9389729950900172</v>
      </c>
      <c r="H113" s="67">
        <f t="shared" si="53"/>
        <v>4.255319148936171</v>
      </c>
      <c r="I113" s="68">
        <f t="shared" si="54"/>
        <v>3.8413461538461919E-4</v>
      </c>
      <c r="J113" s="75">
        <f t="shared" si="55"/>
        <v>3.956586538461538E-2</v>
      </c>
      <c r="K113" s="200">
        <f t="shared" si="37"/>
        <v>39.565865384615378</v>
      </c>
      <c r="L113" s="157">
        <f t="shared" si="56"/>
        <v>0.71650757672314913</v>
      </c>
      <c r="M113" s="66">
        <f t="shared" si="47"/>
        <v>0.69830128205128195</v>
      </c>
      <c r="N113" s="66">
        <f t="shared" si="57"/>
        <v>3.7291545022331526E-4</v>
      </c>
      <c r="O113" s="66">
        <f t="shared" si="40"/>
        <v>0.97079366265893374</v>
      </c>
      <c r="P113" s="66">
        <f t="shared" si="48"/>
        <v>1.6663746773888768</v>
      </c>
      <c r="Q113" s="66">
        <f t="shared" si="49"/>
        <v>0.53605552845271942</v>
      </c>
    </row>
    <row r="114" spans="1:17" ht="12.75">
      <c r="A114" s="66">
        <f t="shared" si="42"/>
        <v>17</v>
      </c>
      <c r="B114" s="69">
        <f t="shared" si="43"/>
        <v>17</v>
      </c>
      <c r="C114" s="67">
        <f>IF(B114&gt;=$H$2,IF($D$2="CC", $G$2, B114/$G$2), 0)</f>
        <v>1.7</v>
      </c>
      <c r="D114" s="206">
        <f>B2</f>
        <v>187.33333333333331</v>
      </c>
      <c r="E114" s="65">
        <f>$C$2</f>
        <v>17.333333333333332</v>
      </c>
      <c r="F114" s="67">
        <f t="shared" ref="F114" si="58">I_Cout_ss+C114</f>
        <v>5.9553191489361712</v>
      </c>
      <c r="G114" s="65">
        <f t="shared" ref="G114" si="59">IF($F$2="YES", F114, E114)</f>
        <v>5.9553191489361712</v>
      </c>
      <c r="H114" s="67">
        <f t="shared" ref="H114" si="60">G114-C114</f>
        <v>4.255319148936171</v>
      </c>
      <c r="I114" s="68">
        <f t="shared" ref="I114" si="61">(COUTMAX/1000000)*(B114-B113)/H114</f>
        <v>3.8413461538461079E-4</v>
      </c>
      <c r="J114" s="75">
        <f t="shared" ref="J114" si="62">J113+I114</f>
        <v>3.9949999999999992E-2</v>
      </c>
      <c r="K114" s="200">
        <f t="shared" si="37"/>
        <v>39.949999999999996</v>
      </c>
      <c r="L114" s="157">
        <f t="shared" ref="L114" si="63">H114/G114</f>
        <v>0.71454090746695254</v>
      </c>
      <c r="M114" s="66">
        <f t="shared" si="47"/>
        <v>0.69666666666666666</v>
      </c>
      <c r="N114" s="66">
        <f t="shared" ref="N114" si="64">I114*G114*(A114-B114)</f>
        <v>0</v>
      </c>
      <c r="O114" s="66">
        <f t="shared" si="40"/>
        <v>0</v>
      </c>
      <c r="P114" s="66">
        <f t="shared" si="48"/>
        <v>0</v>
      </c>
      <c r="Q114" s="66">
        <f t="shared" si="49"/>
        <v>0</v>
      </c>
    </row>
    <row r="115" spans="1:17" ht="12.75">
      <c r="K115" s="201">
        <f>K114+0.5</f>
        <v>40.449999999999996</v>
      </c>
      <c r="N115" s="66">
        <v>0</v>
      </c>
      <c r="O115" s="66">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H23" sqref="H23"/>
    </sheetView>
  </sheetViews>
  <sheetFormatPr defaultRowHeight="13.15"/>
  <cols>
    <col min="1" max="1" width="19.7109375" customWidth="1"/>
    <col min="2" max="2" width="17.28515625" customWidth="1"/>
    <col min="3" max="3" width="13.28515625" customWidth="1"/>
    <col min="4" max="4" width="16" customWidth="1"/>
    <col min="5" max="6" width="17.7109375" customWidth="1"/>
    <col min="7" max="7" width="31.5703125" customWidth="1"/>
    <col min="8" max="8" width="20" customWidth="1"/>
    <col min="13" max="13" width="12.7109375" customWidth="1"/>
    <col min="15" max="15" width="17.28515625" customWidth="1"/>
    <col min="17" max="17" width="13.28515625" customWidth="1"/>
    <col min="18" max="18" width="16.7109375" customWidth="1"/>
    <col min="20" max="20" width="13" customWidth="1"/>
    <col min="21" max="21" width="10.28515625" customWidth="1"/>
  </cols>
  <sheetData>
    <row r="1" spans="1:22" ht="12.75">
      <c r="A1" s="241"/>
      <c r="B1" s="241"/>
      <c r="C1" s="240"/>
      <c r="D1" s="240"/>
      <c r="E1" s="240"/>
      <c r="F1" s="240"/>
      <c r="G1" s="240"/>
      <c r="H1" s="241"/>
      <c r="I1" s="241"/>
      <c r="J1" s="241"/>
      <c r="K1" s="241"/>
      <c r="L1" s="241"/>
      <c r="M1" s="241"/>
      <c r="N1" s="241"/>
      <c r="O1" s="241"/>
      <c r="P1" s="241"/>
      <c r="Q1" s="241"/>
      <c r="R1" s="241"/>
      <c r="S1" s="241"/>
      <c r="T1" s="241"/>
      <c r="U1" s="241"/>
      <c r="V1" s="241"/>
    </row>
    <row r="2" spans="1:22" ht="12.75">
      <c r="A2" s="77"/>
      <c r="B2" s="195"/>
      <c r="C2" s="348" t="s">
        <v>444</v>
      </c>
      <c r="D2" s="349"/>
      <c r="E2" s="350"/>
      <c r="F2" s="198"/>
      <c r="G2" s="198"/>
      <c r="H2" s="242" t="s">
        <v>445</v>
      </c>
      <c r="I2" s="240"/>
      <c r="J2" s="240"/>
      <c r="K2" s="240"/>
      <c r="L2" s="240"/>
      <c r="M2" s="240"/>
      <c r="N2" s="240"/>
      <c r="O2" s="78"/>
      <c r="P2" s="78"/>
      <c r="Q2" s="78"/>
      <c r="R2" s="78"/>
      <c r="S2" s="78"/>
      <c r="T2" s="78"/>
      <c r="U2" s="240"/>
      <c r="V2" s="240"/>
    </row>
    <row r="3" spans="1:22" ht="12.75">
      <c r="A3" s="77"/>
      <c r="B3" s="79" t="s">
        <v>446</v>
      </c>
      <c r="C3" s="79" t="s">
        <v>447</v>
      </c>
      <c r="D3" s="79" t="s">
        <v>448</v>
      </c>
      <c r="E3" s="79" t="s">
        <v>449</v>
      </c>
      <c r="F3" s="196" t="s">
        <v>450</v>
      </c>
      <c r="G3" s="81"/>
      <c r="H3" s="242" t="s">
        <v>451</v>
      </c>
      <c r="I3" s="198"/>
      <c r="J3" s="198"/>
      <c r="K3" s="198"/>
      <c r="L3" s="198"/>
      <c r="M3" s="198"/>
      <c r="N3" s="240"/>
      <c r="O3" s="198"/>
      <c r="P3" s="198"/>
      <c r="Q3" s="306"/>
      <c r="R3" s="306"/>
      <c r="S3" s="306"/>
      <c r="T3" s="306"/>
      <c r="U3" s="240"/>
      <c r="V3" s="240"/>
    </row>
    <row r="4" spans="1:22" ht="21.6" customHeight="1">
      <c r="A4" s="79" t="s">
        <v>452</v>
      </c>
      <c r="B4" s="77">
        <f>'Design Calculator'!AN58</f>
        <v>400</v>
      </c>
      <c r="C4" s="80">
        <f>'Design Calculator'!$AN$59</f>
        <v>110</v>
      </c>
      <c r="D4" s="80">
        <f>'Design Calculator'!$AN$60</f>
        <v>35</v>
      </c>
      <c r="E4" s="80">
        <f>IF('Design Calculator'!$AN$61 = "NA", F4, 'Design Calculator'!$AN$61)</f>
        <v>18</v>
      </c>
      <c r="F4" s="80">
        <f>'Design Calculator'!AN62</f>
        <v>18</v>
      </c>
      <c r="G4" s="84"/>
      <c r="H4" s="242" t="s">
        <v>453</v>
      </c>
      <c r="I4" s="198"/>
      <c r="J4" s="198"/>
      <c r="K4" s="198"/>
      <c r="L4" s="306"/>
      <c r="M4" s="306"/>
      <c r="N4" s="240"/>
      <c r="O4" s="198"/>
      <c r="P4" s="198"/>
      <c r="Q4" s="306"/>
      <c r="R4" s="306"/>
      <c r="S4" s="306"/>
      <c r="T4" s="306"/>
      <c r="U4" s="240"/>
      <c r="V4" s="240"/>
    </row>
    <row r="5" spans="1:22" ht="12.75">
      <c r="A5" s="240"/>
      <c r="B5" s="241"/>
      <c r="C5" s="198"/>
      <c r="D5" s="306"/>
      <c r="E5" s="306"/>
      <c r="F5" s="306"/>
      <c r="G5" s="306"/>
      <c r="H5" s="240"/>
      <c r="I5" s="198"/>
      <c r="J5" s="198"/>
      <c r="K5" s="198"/>
      <c r="L5" s="306"/>
      <c r="M5" s="306"/>
      <c r="N5" s="351"/>
      <c r="O5" s="351"/>
      <c r="P5" s="351"/>
      <c r="Q5" s="306"/>
      <c r="R5" s="352"/>
      <c r="S5" s="353"/>
      <c r="T5" s="353"/>
      <c r="U5" s="240"/>
      <c r="V5" s="240"/>
    </row>
    <row r="6" spans="1:22" ht="12.75">
      <c r="A6" s="240"/>
      <c r="B6" s="241"/>
      <c r="C6" s="198"/>
      <c r="D6" s="306"/>
      <c r="E6" s="306"/>
      <c r="F6" s="306"/>
      <c r="G6" s="306"/>
      <c r="H6" s="240"/>
      <c r="I6" s="198"/>
      <c r="J6" s="198"/>
      <c r="K6" s="198"/>
      <c r="L6" s="306"/>
      <c r="M6" s="306"/>
      <c r="N6" s="240"/>
      <c r="O6" s="81"/>
      <c r="P6" s="240"/>
      <c r="Q6" s="240"/>
      <c r="R6" s="240"/>
      <c r="S6" s="240"/>
      <c r="T6" s="240"/>
      <c r="U6" s="240"/>
      <c r="V6" s="240"/>
    </row>
    <row r="7" spans="1:22" ht="15">
      <c r="A7" s="240"/>
      <c r="B7" s="82" t="s">
        <v>454</v>
      </c>
      <c r="C7" s="241"/>
      <c r="D7" s="241"/>
      <c r="E7" s="241"/>
      <c r="F7" s="241"/>
      <c r="G7" s="184" t="s">
        <v>455</v>
      </c>
      <c r="H7" s="240"/>
      <c r="I7" s="241"/>
      <c r="J7" s="305"/>
      <c r="K7" s="306"/>
      <c r="L7" s="240"/>
      <c r="M7" s="240"/>
      <c r="N7" s="81"/>
      <c r="O7" s="81"/>
      <c r="P7" s="81"/>
      <c r="Q7" s="240"/>
      <c r="R7" s="240"/>
      <c r="S7" s="240"/>
      <c r="T7" s="83"/>
      <c r="U7" s="198"/>
      <c r="V7" s="240"/>
    </row>
    <row r="8" spans="1:22" ht="15">
      <c r="A8" s="240"/>
      <c r="B8" s="242" t="s">
        <v>456</v>
      </c>
      <c r="C8" s="241">
        <f>IF('Design Calculator'!F73="No", 'Design Calculator'!$F$79,'Design Calculator'!F92)</f>
        <v>0.52</v>
      </c>
      <c r="D8" s="242" t="s">
        <v>108</v>
      </c>
      <c r="E8" s="241"/>
      <c r="F8" s="241"/>
      <c r="G8" s="242" t="s">
        <v>456</v>
      </c>
      <c r="H8" s="241">
        <f>Equations!F60</f>
        <v>20.334932554179876</v>
      </c>
      <c r="I8" s="241"/>
      <c r="J8" s="87"/>
      <c r="K8" s="306"/>
      <c r="L8" s="240"/>
      <c r="M8" s="240"/>
      <c r="N8" s="81"/>
      <c r="O8" s="240"/>
      <c r="P8" s="83"/>
      <c r="Q8" s="240"/>
      <c r="R8" s="240"/>
      <c r="S8" s="240"/>
      <c r="T8" s="83"/>
      <c r="U8" s="198"/>
      <c r="V8" s="240"/>
    </row>
    <row r="9" spans="1:22" ht="15">
      <c r="A9" s="240"/>
      <c r="B9" s="242" t="s">
        <v>457</v>
      </c>
      <c r="C9" s="241">
        <f>VINMAX</f>
        <v>17</v>
      </c>
      <c r="D9" s="241" t="s">
        <v>40</v>
      </c>
      <c r="E9" s="241"/>
      <c r="F9" s="241"/>
      <c r="G9" s="242" t="s">
        <v>457</v>
      </c>
      <c r="H9" s="241">
        <f>VINMAX</f>
        <v>17</v>
      </c>
      <c r="I9" s="241"/>
      <c r="J9" s="241"/>
      <c r="K9" s="306"/>
      <c r="L9" s="240"/>
      <c r="M9" s="240"/>
      <c r="N9" s="81"/>
      <c r="O9" s="240"/>
      <c r="P9" s="83"/>
      <c r="Q9" s="240"/>
      <c r="R9" s="240"/>
      <c r="S9" s="240"/>
      <c r="T9" s="83"/>
      <c r="U9" s="240"/>
      <c r="V9" s="240"/>
    </row>
    <row r="10" spans="1:22" ht="15">
      <c r="A10" s="240"/>
      <c r="B10" s="242" t="s">
        <v>458</v>
      </c>
      <c r="C10" s="241">
        <f>IF(C8&lt;10, IF(C8&lt;1, 0.1, 1), IF(C8&lt;100, 10, 100))</f>
        <v>0.1</v>
      </c>
      <c r="D10" s="242" t="s">
        <v>108</v>
      </c>
      <c r="E10" s="241"/>
      <c r="F10" s="241"/>
      <c r="G10" s="242" t="s">
        <v>458</v>
      </c>
      <c r="H10" s="241">
        <f>IF(H8&lt;10, IF(H8&lt;1, 0.1, 1), IF(H8&lt;100, 10, 100))</f>
        <v>10</v>
      </c>
      <c r="I10" s="241"/>
      <c r="J10" s="241"/>
      <c r="K10" s="306"/>
      <c r="L10" s="240"/>
      <c r="M10" s="240"/>
      <c r="N10" s="81"/>
      <c r="O10" s="240"/>
      <c r="P10" s="83"/>
      <c r="Q10" s="240"/>
      <c r="R10" s="240"/>
      <c r="S10" s="240"/>
      <c r="T10" s="83"/>
      <c r="U10" s="240"/>
      <c r="V10" s="240"/>
    </row>
    <row r="11" spans="1:22" ht="15">
      <c r="A11" s="240"/>
      <c r="B11" s="242" t="s">
        <v>459</v>
      </c>
      <c r="C11" s="241">
        <f>IF('Design Calculator'!F61="NA", MIN(SOA!C10,1),SOA!C10)</f>
        <v>0.1</v>
      </c>
      <c r="D11" s="242"/>
      <c r="E11" s="241"/>
      <c r="F11" s="241"/>
      <c r="G11" s="242" t="s">
        <v>459</v>
      </c>
      <c r="H11" s="241">
        <f>IF('Design Calculator'!F61="NA", MIN(SOA!H10,1),SOA!H10)</f>
        <v>1</v>
      </c>
      <c r="I11" s="241"/>
      <c r="J11" s="241"/>
      <c r="K11" s="306"/>
      <c r="L11" s="240"/>
      <c r="M11" s="240"/>
      <c r="N11" s="240"/>
      <c r="O11" s="240"/>
      <c r="P11" s="83"/>
      <c r="Q11" s="240"/>
      <c r="R11" s="240"/>
      <c r="S11" s="240"/>
      <c r="T11" s="240"/>
      <c r="U11" s="240"/>
      <c r="V11" s="240"/>
    </row>
    <row r="12" spans="1:22" ht="12.75">
      <c r="A12" s="240"/>
      <c r="B12" s="242" t="s">
        <v>460</v>
      </c>
      <c r="C12" s="241">
        <f>C10*10</f>
        <v>1</v>
      </c>
      <c r="D12" s="242" t="s">
        <v>108</v>
      </c>
      <c r="E12" s="241"/>
      <c r="F12" s="241"/>
      <c r="G12" s="242" t="s">
        <v>461</v>
      </c>
      <c r="H12" s="241">
        <f>H10*10</f>
        <v>100</v>
      </c>
      <c r="I12" s="241"/>
      <c r="J12" s="241"/>
      <c r="K12" s="306"/>
      <c r="L12" s="240"/>
      <c r="M12" s="240"/>
      <c r="N12" s="240"/>
      <c r="O12" s="240"/>
      <c r="P12" s="240"/>
      <c r="Q12" s="240"/>
      <c r="R12" s="240"/>
      <c r="S12" s="240"/>
      <c r="T12" s="240"/>
      <c r="U12" s="240"/>
      <c r="V12" s="240"/>
    </row>
    <row r="13" spans="1:22" ht="12.75">
      <c r="A13" s="240"/>
      <c r="B13" s="242" t="s">
        <v>462</v>
      </c>
      <c r="C13" s="241">
        <f>IF('Design Calculator'!F62="NA", MIN(SOA!C12,10),SOA!C12)</f>
        <v>1</v>
      </c>
      <c r="D13" s="242"/>
      <c r="E13" s="241"/>
      <c r="F13" s="241"/>
      <c r="G13" s="242" t="s">
        <v>462</v>
      </c>
      <c r="H13" s="241">
        <f>IF('Design Calculator'!F62="NA", MIN(SOA!H12,10),SOA!H12)</f>
        <v>100</v>
      </c>
      <c r="I13" s="241"/>
      <c r="J13" s="241"/>
      <c r="K13" s="306"/>
      <c r="L13" s="240"/>
      <c r="M13" s="240"/>
      <c r="N13" s="240"/>
      <c r="O13" s="240"/>
      <c r="P13" s="240"/>
      <c r="Q13" s="240"/>
      <c r="R13" s="240"/>
      <c r="S13" s="240"/>
      <c r="T13" s="240"/>
      <c r="U13" s="240"/>
      <c r="V13" s="240"/>
    </row>
    <row r="14" spans="1:22" ht="12.75">
      <c r="A14" s="240"/>
      <c r="B14" s="242" t="s">
        <v>463</v>
      </c>
      <c r="C14" s="241">
        <f>IF(C10=0.1, B4, IF(C10=1, C4, IF(C10=10, D4, E4)))</f>
        <v>400</v>
      </c>
      <c r="D14" s="242" t="s">
        <v>44</v>
      </c>
      <c r="E14" s="241"/>
      <c r="F14" s="241"/>
      <c r="G14" s="242" t="s">
        <v>463</v>
      </c>
      <c r="H14" s="241">
        <f>IF(H11=0.1, B4, IF(H11=1, C4, IF(H11=10, D4, E4)))</f>
        <v>110</v>
      </c>
      <c r="I14" s="241"/>
      <c r="J14" s="241"/>
      <c r="K14" s="306"/>
      <c r="L14" s="240"/>
      <c r="M14" s="240"/>
      <c r="N14" s="240"/>
      <c r="O14" s="240"/>
      <c r="P14" s="240"/>
      <c r="Q14" s="240"/>
      <c r="R14" s="240"/>
      <c r="S14" s="240"/>
      <c r="T14" s="240"/>
      <c r="U14" s="240"/>
      <c r="V14" s="240"/>
    </row>
    <row r="15" spans="1:22" ht="12.75">
      <c r="A15" s="240"/>
      <c r="B15" s="242" t="s">
        <v>464</v>
      </c>
      <c r="C15" s="241">
        <f>IF(C12=1000, F4, IF(C12=1, C4, IF(C12=10, D4, E4)))</f>
        <v>110</v>
      </c>
      <c r="D15" s="242" t="s">
        <v>44</v>
      </c>
      <c r="E15" s="241"/>
      <c r="F15" s="241"/>
      <c r="G15" s="242" t="s">
        <v>464</v>
      </c>
      <c r="H15" s="241">
        <f>IF(H13=1000, F4, IF(H13=1, C4, IF(H13=10, D4, E4)))</f>
        <v>18</v>
      </c>
      <c r="I15" s="241"/>
      <c r="J15" s="241"/>
      <c r="K15" s="306"/>
      <c r="L15" s="240"/>
      <c r="M15" s="240"/>
      <c r="N15" s="240"/>
      <c r="O15" s="240"/>
      <c r="P15" s="240"/>
      <c r="Q15" s="240"/>
      <c r="R15" s="240"/>
      <c r="S15" s="240"/>
      <c r="T15" s="240"/>
      <c r="U15" s="240"/>
      <c r="V15" s="240"/>
    </row>
    <row r="16" spans="1:22" ht="12.75">
      <c r="A16" s="240"/>
      <c r="B16" s="241"/>
      <c r="C16" s="241"/>
      <c r="D16" s="241"/>
      <c r="E16" s="241"/>
      <c r="F16" s="241"/>
      <c r="G16" s="241"/>
      <c r="H16" s="241"/>
      <c r="I16" s="241"/>
      <c r="J16" s="241"/>
      <c r="K16" s="306"/>
      <c r="L16" s="240"/>
      <c r="M16" s="240"/>
      <c r="N16" s="240"/>
      <c r="O16" s="240"/>
      <c r="P16" s="240"/>
      <c r="Q16" s="240"/>
      <c r="R16" s="240"/>
      <c r="S16" s="240"/>
      <c r="T16" s="240"/>
      <c r="U16" s="240"/>
      <c r="V16" s="240"/>
    </row>
    <row r="17" spans="1:22" ht="12.75">
      <c r="A17" s="240"/>
      <c r="B17" s="242" t="s">
        <v>465</v>
      </c>
      <c r="C17" s="241"/>
      <c r="D17" s="241"/>
      <c r="E17" s="241"/>
      <c r="F17" s="241"/>
      <c r="G17" s="242" t="s">
        <v>465</v>
      </c>
      <c r="H17" s="241"/>
      <c r="I17" s="241"/>
      <c r="J17" s="241"/>
      <c r="K17" s="306"/>
      <c r="L17" s="240"/>
      <c r="M17" s="240"/>
      <c r="N17" s="240"/>
      <c r="O17" s="240"/>
      <c r="P17" s="240"/>
      <c r="Q17" s="240"/>
      <c r="R17" s="240"/>
      <c r="S17" s="240"/>
      <c r="T17" s="240"/>
      <c r="U17" s="240"/>
      <c r="V17" s="240"/>
    </row>
    <row r="18" spans="1:22" ht="12.75">
      <c r="A18" s="240"/>
      <c r="B18" s="242" t="s">
        <v>466</v>
      </c>
      <c r="C18" s="241">
        <f>C14/C11^C19</f>
        <v>110</v>
      </c>
      <c r="D18" s="241"/>
      <c r="E18" s="241"/>
      <c r="F18" s="242"/>
      <c r="G18" s="242" t="s">
        <v>466</v>
      </c>
      <c r="H18" s="241">
        <f>H14/H11^H19</f>
        <v>110</v>
      </c>
      <c r="I18" s="241"/>
      <c r="J18" s="241"/>
      <c r="K18" s="241"/>
      <c r="L18" s="241"/>
      <c r="M18" s="241"/>
      <c r="N18" s="241"/>
      <c r="O18" s="219"/>
      <c r="P18" s="219"/>
      <c r="Q18" s="240"/>
      <c r="R18" s="240"/>
      <c r="S18" s="240"/>
      <c r="T18" s="240"/>
      <c r="U18" s="240"/>
      <c r="V18" s="240"/>
    </row>
    <row r="19" spans="1:22" ht="12.75">
      <c r="A19" s="240"/>
      <c r="B19" s="242" t="s">
        <v>467</v>
      </c>
      <c r="C19" s="241">
        <f>LOG(C14/C15)/LOG(C11/C13)</f>
        <v>-0.56066730616973737</v>
      </c>
      <c r="D19" s="241"/>
      <c r="E19" s="241"/>
      <c r="F19" s="242"/>
      <c r="G19" s="242" t="s">
        <v>467</v>
      </c>
      <c r="H19" s="241">
        <f>IF(H14=H15,0.000000000001,LOG(H14/H15)/LOG(H11/H13))</f>
        <v>-0.39306009002745945</v>
      </c>
      <c r="I19" s="242" t="s">
        <v>468</v>
      </c>
      <c r="J19" s="241"/>
      <c r="K19" s="306"/>
      <c r="L19" s="240"/>
      <c r="M19" s="219"/>
      <c r="N19" s="219"/>
      <c r="O19" s="240"/>
      <c r="P19" s="240"/>
      <c r="Q19" s="240"/>
      <c r="R19" s="240"/>
      <c r="S19" s="240"/>
      <c r="T19" s="240"/>
      <c r="U19" s="240"/>
      <c r="V19" s="240"/>
    </row>
    <row r="20" spans="1:22" ht="12.75">
      <c r="A20" s="240"/>
      <c r="B20" s="242" t="s">
        <v>469</v>
      </c>
      <c r="C20" s="241">
        <f>C18*C8^C19</f>
        <v>158.71585955232288</v>
      </c>
      <c r="D20" s="242" t="s">
        <v>44</v>
      </c>
      <c r="E20" s="241"/>
      <c r="F20" s="241"/>
      <c r="G20" s="242" t="s">
        <v>469</v>
      </c>
      <c r="H20" s="241">
        <f>H18*H8^H19</f>
        <v>33.664694481398442</v>
      </c>
      <c r="I20" s="241"/>
      <c r="J20" s="241"/>
      <c r="K20" s="306"/>
      <c r="L20" s="240"/>
      <c r="M20" s="81"/>
      <c r="N20" s="240"/>
      <c r="O20" s="240"/>
      <c r="P20" s="240"/>
      <c r="Q20" s="240"/>
      <c r="R20" s="240"/>
      <c r="S20" s="240"/>
      <c r="T20" s="240"/>
      <c r="U20" s="240"/>
      <c r="V20" s="240"/>
    </row>
    <row r="21" spans="1:22" ht="12.75">
      <c r="A21" s="240"/>
      <c r="B21" s="241"/>
      <c r="C21" s="241"/>
      <c r="D21" s="241"/>
      <c r="E21" s="241"/>
      <c r="F21" s="241"/>
      <c r="G21" s="241"/>
      <c r="H21" s="241"/>
      <c r="I21" s="241"/>
      <c r="J21" s="241"/>
      <c r="K21" s="306"/>
      <c r="L21" s="240"/>
      <c r="M21" s="240"/>
      <c r="N21" s="198"/>
      <c r="O21" s="240"/>
      <c r="P21" s="240"/>
      <c r="Q21" s="240"/>
      <c r="R21" s="240"/>
      <c r="S21" s="240"/>
      <c r="T21" s="240"/>
      <c r="U21" s="240"/>
      <c r="V21" s="240"/>
    </row>
    <row r="22" spans="1:22" ht="12.75">
      <c r="A22" s="240"/>
      <c r="B22" s="30" t="s">
        <v>470</v>
      </c>
      <c r="C22" s="241">
        <f xml:space="preserve"> C20*C9</f>
        <v>2698.169612389489</v>
      </c>
      <c r="D22" s="242"/>
      <c r="E22" s="241"/>
      <c r="F22" s="241"/>
      <c r="G22" s="30" t="s">
        <v>470</v>
      </c>
      <c r="H22" s="241">
        <f xml:space="preserve"> H20*H9</f>
        <v>572.29980618377351</v>
      </c>
      <c r="I22" s="241"/>
      <c r="J22" s="241"/>
      <c r="K22" s="306"/>
      <c r="L22" s="240"/>
      <c r="M22" s="240"/>
      <c r="N22" s="240"/>
      <c r="O22" s="240"/>
      <c r="P22" s="240"/>
      <c r="Q22" s="240"/>
      <c r="R22" s="240"/>
      <c r="S22" s="240"/>
      <c r="T22" s="240"/>
      <c r="U22" s="240"/>
      <c r="V22" s="240"/>
    </row>
    <row r="23" spans="1:22" ht="12.75">
      <c r="A23" s="240"/>
      <c r="B23" s="241"/>
      <c r="C23" s="241"/>
      <c r="D23" s="241"/>
      <c r="E23" s="241"/>
      <c r="F23" s="241"/>
      <c r="G23" s="241"/>
      <c r="H23" s="241"/>
      <c r="I23" s="241"/>
      <c r="J23" s="241"/>
      <c r="K23" s="306"/>
      <c r="L23" s="240"/>
      <c r="M23" s="240"/>
      <c r="N23" s="240"/>
      <c r="O23" s="240"/>
      <c r="P23" s="240"/>
      <c r="Q23" s="240"/>
      <c r="R23" s="240"/>
      <c r="S23" s="240"/>
      <c r="T23" s="240"/>
      <c r="U23" s="240"/>
      <c r="V23" s="240"/>
    </row>
    <row r="24" spans="1:22" ht="12.75">
      <c r="A24" s="240"/>
      <c r="B24" s="241"/>
      <c r="C24" s="241"/>
      <c r="D24" s="241"/>
      <c r="E24" s="241"/>
      <c r="F24" s="241"/>
      <c r="G24" s="242" t="s">
        <v>471</v>
      </c>
      <c r="H24" s="241" t="str">
        <f>'Design Calculator'!F81</f>
        <v>Yes</v>
      </c>
      <c r="I24" s="241"/>
      <c r="J24" s="241"/>
      <c r="K24" s="306"/>
      <c r="L24" s="240"/>
      <c r="M24" s="240"/>
      <c r="N24" s="240"/>
      <c r="O24" s="198"/>
      <c r="P24" s="240"/>
      <c r="Q24" s="240"/>
      <c r="R24" s="240"/>
      <c r="S24" s="240"/>
      <c r="T24" s="240"/>
      <c r="U24" s="240"/>
      <c r="V24" s="240"/>
    </row>
    <row r="25" spans="1:22" ht="12.75">
      <c r="A25" s="240"/>
      <c r="B25" s="87" t="s">
        <v>472</v>
      </c>
      <c r="C25" s="241">
        <f>(TJMAX-TJ)/(TJMAX-25)</f>
        <v>0.60166666666666668</v>
      </c>
      <c r="D25" s="306"/>
      <c r="E25" s="306"/>
      <c r="F25" s="306"/>
      <c r="G25" s="242" t="s">
        <v>473</v>
      </c>
      <c r="H25" s="241">
        <f>IF(H24="Yes", TJ,TAMB)</f>
        <v>84.75</v>
      </c>
      <c r="I25" s="241"/>
      <c r="J25" s="241"/>
      <c r="K25" s="306"/>
      <c r="L25" s="240"/>
      <c r="M25" s="240"/>
      <c r="N25" s="240"/>
      <c r="O25" s="198"/>
      <c r="P25" s="240"/>
      <c r="Q25" s="240"/>
      <c r="R25" s="240"/>
      <c r="S25" s="240"/>
      <c r="T25" s="240"/>
      <c r="U25" s="240"/>
      <c r="V25" s="240"/>
    </row>
    <row r="26" spans="1:22" ht="12.75">
      <c r="A26" s="240"/>
      <c r="B26" s="85" t="s">
        <v>474</v>
      </c>
      <c r="C26" s="241">
        <f>IF((C22*C25)&lt;0,0.000000001,C22*C25)</f>
        <v>1623.398716787676</v>
      </c>
      <c r="D26" s="86" t="s">
        <v>59</v>
      </c>
      <c r="E26" s="306"/>
      <c r="F26" s="306"/>
      <c r="G26" s="241"/>
      <c r="H26" s="241"/>
      <c r="I26" s="241"/>
      <c r="J26" s="241"/>
      <c r="K26" s="306"/>
      <c r="L26" s="240"/>
      <c r="M26" s="240"/>
      <c r="N26" s="240"/>
      <c r="O26" s="240"/>
      <c r="P26" s="240"/>
      <c r="Q26" s="240"/>
      <c r="R26" s="240"/>
      <c r="S26" s="240"/>
      <c r="T26" s="240"/>
      <c r="U26" s="240"/>
      <c r="V26" s="240"/>
    </row>
    <row r="27" spans="1:22" ht="12.75">
      <c r="A27" s="240"/>
      <c r="B27" s="198"/>
      <c r="C27" s="198"/>
      <c r="D27" s="306"/>
      <c r="E27" s="306"/>
      <c r="F27" s="306"/>
      <c r="G27" s="87" t="s">
        <v>472</v>
      </c>
      <c r="H27" s="241">
        <f>(TJMAX-H25)/(TJMAX-25)</f>
        <v>0.60166666666666668</v>
      </c>
      <c r="I27" s="241"/>
      <c r="J27" s="241"/>
      <c r="K27" s="306"/>
      <c r="L27" s="240"/>
      <c r="M27" s="240"/>
      <c r="N27" s="240"/>
      <c r="O27" s="240"/>
      <c r="P27" s="240"/>
      <c r="Q27" s="240"/>
      <c r="R27" s="240"/>
      <c r="S27" s="240"/>
      <c r="T27" s="240"/>
      <c r="U27" s="240"/>
      <c r="V27" s="240"/>
    </row>
    <row r="28" spans="1:22" ht="12.75">
      <c r="A28" s="240"/>
      <c r="B28" s="198"/>
      <c r="C28" s="241"/>
      <c r="D28" s="306"/>
      <c r="E28" s="306"/>
      <c r="F28" s="306"/>
      <c r="G28" s="85" t="s">
        <v>474</v>
      </c>
      <c r="H28" s="241">
        <f>IF((H22*H27)&lt;0,0.000000001,H22*H27)</f>
        <v>344.33371672057041</v>
      </c>
      <c r="I28" s="241"/>
      <c r="J28" s="241"/>
      <c r="K28" s="306"/>
      <c r="L28" s="240"/>
      <c r="M28" s="240"/>
      <c r="N28" s="240"/>
      <c r="O28" s="240"/>
      <c r="P28" s="240"/>
      <c r="Q28" s="240"/>
      <c r="R28" s="240"/>
      <c r="S28" s="240"/>
      <c r="T28" s="240"/>
      <c r="U28" s="240"/>
      <c r="V28" s="240"/>
    </row>
    <row r="29" spans="1:22" ht="12.75">
      <c r="A29" s="240"/>
      <c r="B29" s="87" t="s">
        <v>475</v>
      </c>
      <c r="C29" s="241"/>
      <c r="D29" s="306"/>
      <c r="E29" s="306"/>
      <c r="F29" s="306"/>
      <c r="G29" s="241"/>
      <c r="H29" s="240"/>
      <c r="I29" s="84"/>
      <c r="J29" s="84"/>
      <c r="K29" s="84"/>
      <c r="L29" s="240"/>
      <c r="M29" s="240"/>
      <c r="N29" s="240"/>
      <c r="O29" s="240"/>
      <c r="P29" s="240"/>
      <c r="Q29" s="240"/>
      <c r="R29" s="240"/>
      <c r="S29" s="240"/>
      <c r="T29" s="240"/>
      <c r="U29" s="240"/>
      <c r="V29" s="240"/>
    </row>
    <row r="30" spans="1:22" ht="12.75">
      <c r="A30" s="240"/>
      <c r="B30" s="241"/>
      <c r="C30" s="82" t="s">
        <v>476</v>
      </c>
      <c r="D30" s="203" t="s">
        <v>477</v>
      </c>
      <c r="E30" s="203" t="s">
        <v>478</v>
      </c>
      <c r="F30" s="203" t="s">
        <v>479</v>
      </c>
      <c r="G30" s="306"/>
      <c r="H30" s="240"/>
      <c r="I30" s="84"/>
      <c r="J30" s="84"/>
      <c r="K30" s="84"/>
      <c r="L30" s="240"/>
      <c r="M30" s="240"/>
      <c r="N30" s="240"/>
      <c r="O30" s="240"/>
      <c r="P30" s="240"/>
      <c r="Q30" s="240"/>
      <c r="R30" s="240"/>
      <c r="S30" s="240"/>
      <c r="T30" s="240"/>
      <c r="U30" s="240"/>
      <c r="V30" s="240"/>
    </row>
    <row r="31" spans="1:22" ht="12.75">
      <c r="A31" s="241"/>
      <c r="B31" s="87" t="s">
        <v>480</v>
      </c>
      <c r="C31" s="239">
        <v>0.1</v>
      </c>
      <c r="D31" s="302">
        <v>1</v>
      </c>
      <c r="E31" s="306">
        <v>10</v>
      </c>
      <c r="F31" s="198">
        <v>100</v>
      </c>
      <c r="G31" s="184"/>
      <c r="H31" s="240"/>
      <c r="I31" s="240"/>
      <c r="J31" s="240"/>
      <c r="K31" s="240"/>
      <c r="L31" s="240"/>
      <c r="M31" s="240"/>
      <c r="N31" s="240"/>
      <c r="O31" s="240"/>
      <c r="P31" s="240"/>
      <c r="Q31" s="240"/>
      <c r="R31" s="240"/>
      <c r="S31" s="240"/>
      <c r="T31" s="240"/>
      <c r="U31" s="240"/>
      <c r="V31" s="240"/>
    </row>
    <row r="32" spans="1:22" ht="12.75">
      <c r="A32" s="241"/>
      <c r="B32" s="239" t="s">
        <v>481</v>
      </c>
      <c r="C32" s="302">
        <v>1</v>
      </c>
      <c r="D32" s="302">
        <v>10</v>
      </c>
      <c r="E32" s="306">
        <v>100</v>
      </c>
      <c r="F32" s="198">
        <v>1000</v>
      </c>
      <c r="G32" s="85"/>
      <c r="H32" s="240"/>
      <c r="I32" s="240"/>
      <c r="J32" s="240"/>
      <c r="K32" s="240"/>
      <c r="L32" s="240"/>
      <c r="M32" s="240"/>
      <c r="N32" s="240"/>
      <c r="O32" s="240"/>
      <c r="P32" s="240"/>
      <c r="Q32" s="240"/>
      <c r="R32" s="240"/>
      <c r="S32" s="240"/>
      <c r="T32" s="240"/>
      <c r="U32" s="240"/>
      <c r="V32" s="240"/>
    </row>
    <row r="33" spans="2:22" ht="12.75">
      <c r="B33" s="239" t="s">
        <v>466</v>
      </c>
      <c r="C33" s="302">
        <f>B4/(C31^C34)</f>
        <v>110</v>
      </c>
      <c r="D33" s="302">
        <f>C4/(D31^D34)</f>
        <v>110</v>
      </c>
      <c r="E33" s="302">
        <f>IF('Design Calculator'!F62="NA",D33,D4/(E31^E34))</f>
        <v>68.055555555555543</v>
      </c>
      <c r="F33" s="302">
        <f>IF('Design Calculator'!F62="NA", E33, E4/(F31^F34))</f>
        <v>18</v>
      </c>
      <c r="G33" s="242"/>
      <c r="H33" s="240"/>
      <c r="I33" s="240"/>
      <c r="J33" s="240"/>
      <c r="K33" s="240"/>
      <c r="L33" s="240"/>
      <c r="M33" s="240"/>
      <c r="N33" s="240"/>
      <c r="O33" s="240"/>
      <c r="P33" s="240"/>
      <c r="Q33" s="240"/>
      <c r="R33" s="240"/>
      <c r="S33" s="240"/>
      <c r="T33" s="240"/>
      <c r="U33" s="240"/>
      <c r="V33" s="240"/>
    </row>
    <row r="34" spans="2:22" ht="12.75">
      <c r="B34" s="239" t="s">
        <v>467</v>
      </c>
      <c r="C34" s="16">
        <f>LOG(B4/C4)/LOG(C31/C32)</f>
        <v>-0.56066730616973737</v>
      </c>
      <c r="D34" s="16">
        <f>LOG(C4/D4)/LOG(D31/D32)</f>
        <v>-0.49732464080794941</v>
      </c>
      <c r="E34" s="16">
        <f>IF('Design Calculator'!F62="NA", D34, LOG(D4/E4)/LOG(E31/E32))</f>
        <v>-0.28879553924696955</v>
      </c>
      <c r="F34" s="16">
        <f>IF('Design Calculator'!F62="NA",E34,LOG(E4/F4)/LOG(F31/F32))</f>
        <v>0</v>
      </c>
      <c r="G34" s="242"/>
      <c r="H34" s="240"/>
      <c r="I34" s="240"/>
      <c r="J34" s="240"/>
      <c r="K34" s="240"/>
      <c r="L34" s="240"/>
      <c r="M34" s="240"/>
      <c r="N34" s="240"/>
      <c r="O34" s="240"/>
      <c r="P34" s="240"/>
      <c r="Q34" s="240"/>
      <c r="R34" s="240"/>
      <c r="S34" s="240"/>
      <c r="T34" s="240"/>
      <c r="U34" s="240"/>
      <c r="V34" s="240"/>
    </row>
    <row r="35" spans="2:22" ht="12.75">
      <c r="B35" s="241"/>
      <c r="C35" s="241"/>
      <c r="D35" s="241"/>
      <c r="E35" s="306"/>
      <c r="F35" s="240"/>
      <c r="G35" s="242"/>
      <c r="H35" s="240"/>
      <c r="I35" s="240"/>
      <c r="J35" s="240"/>
      <c r="K35" s="240"/>
      <c r="L35" s="240"/>
      <c r="M35" s="240"/>
      <c r="N35" s="240"/>
      <c r="O35" s="240"/>
      <c r="P35" s="240"/>
      <c r="Q35" s="240"/>
      <c r="R35" s="240"/>
      <c r="S35" s="240"/>
      <c r="T35" s="240"/>
      <c r="U35" s="240"/>
      <c r="V35" s="240"/>
    </row>
    <row r="36" spans="2:22" ht="12.75">
      <c r="B36" s="241"/>
      <c r="C36" s="241"/>
      <c r="D36" s="241"/>
      <c r="E36" s="306"/>
      <c r="F36" s="240"/>
      <c r="G36" s="242"/>
      <c r="H36" s="240"/>
      <c r="I36" s="240"/>
      <c r="J36" s="240"/>
      <c r="K36" s="240"/>
      <c r="L36" s="240"/>
      <c r="M36" s="240"/>
      <c r="N36" s="240"/>
      <c r="O36" s="240"/>
      <c r="P36" s="240"/>
      <c r="Q36" s="240"/>
      <c r="R36" s="240"/>
      <c r="S36" s="240"/>
      <c r="T36" s="240"/>
      <c r="U36" s="240"/>
      <c r="V36" s="240"/>
    </row>
    <row r="37" spans="2:22" ht="12.75">
      <c r="B37" s="241"/>
      <c r="C37" s="241"/>
      <c r="D37" s="241"/>
      <c r="E37" s="306"/>
      <c r="F37" s="240"/>
      <c r="G37" s="242"/>
      <c r="H37" s="240"/>
      <c r="I37" s="240"/>
      <c r="J37" s="240"/>
      <c r="K37" s="240"/>
      <c r="L37" s="240"/>
      <c r="M37" s="240"/>
      <c r="N37" s="240"/>
      <c r="O37" s="240"/>
      <c r="P37" s="240"/>
      <c r="Q37" s="240"/>
      <c r="R37" s="240"/>
      <c r="S37" s="240"/>
      <c r="T37" s="240"/>
      <c r="U37" s="240"/>
      <c r="V37" s="240"/>
    </row>
    <row r="38" spans="2:22" ht="12.75">
      <c r="B38" s="241"/>
      <c r="C38" s="241"/>
      <c r="D38" s="241"/>
      <c r="E38" s="306"/>
      <c r="F38" s="240"/>
      <c r="G38" s="242"/>
      <c r="H38" s="240"/>
      <c r="I38" s="240"/>
      <c r="J38" s="240"/>
      <c r="K38" s="240"/>
      <c r="L38" s="240"/>
      <c r="M38" s="240"/>
      <c r="N38" s="240"/>
      <c r="O38" s="240"/>
      <c r="P38" s="240"/>
      <c r="Q38" s="240"/>
      <c r="R38" s="240"/>
      <c r="S38" s="240"/>
      <c r="T38" s="240"/>
      <c r="U38" s="240"/>
      <c r="V38" s="240"/>
    </row>
    <row r="39" spans="2:22" ht="12.75">
      <c r="B39" s="241"/>
      <c r="C39" s="241"/>
      <c r="D39" s="241"/>
      <c r="E39" s="306"/>
      <c r="F39" s="240"/>
      <c r="G39" s="241"/>
      <c r="H39" s="240"/>
      <c r="I39" s="240"/>
      <c r="J39" s="240"/>
      <c r="K39" s="240"/>
      <c r="L39" s="240"/>
      <c r="M39" s="240"/>
      <c r="N39" s="240"/>
      <c r="O39" s="240"/>
      <c r="P39" s="240"/>
      <c r="Q39" s="240"/>
      <c r="R39" s="240"/>
      <c r="S39" s="240"/>
      <c r="T39" s="240"/>
      <c r="U39" s="240"/>
      <c r="V39" s="240"/>
    </row>
    <row r="40" spans="2:22" ht="12.75">
      <c r="B40" s="241"/>
      <c r="C40" s="241"/>
      <c r="D40" s="241"/>
      <c r="E40" s="306"/>
      <c r="F40" s="240"/>
      <c r="G40" s="242"/>
      <c r="H40" s="240"/>
      <c r="I40" s="240"/>
      <c r="J40" s="240"/>
      <c r="K40" s="240"/>
      <c r="L40" s="240"/>
      <c r="M40" s="240"/>
      <c r="N40" s="240"/>
      <c r="O40" s="240"/>
      <c r="P40" s="240"/>
      <c r="Q40" s="240"/>
      <c r="R40" s="240"/>
      <c r="S40" s="240"/>
      <c r="T40" s="240"/>
      <c r="U40" s="240"/>
      <c r="V40" s="240"/>
    </row>
    <row r="41" spans="2:22" ht="12.75">
      <c r="B41" s="241"/>
      <c r="C41" s="241"/>
      <c r="D41" s="241"/>
      <c r="E41" s="306"/>
      <c r="F41" s="240"/>
      <c r="G41" s="241"/>
      <c r="H41" s="240"/>
      <c r="I41" s="240"/>
      <c r="J41" s="240"/>
      <c r="K41" s="240"/>
      <c r="L41" s="240"/>
      <c r="M41" s="240"/>
      <c r="N41" s="240"/>
      <c r="O41" s="240"/>
      <c r="P41" s="240"/>
      <c r="Q41" s="240"/>
      <c r="R41" s="240"/>
      <c r="S41" s="240"/>
      <c r="T41" s="240"/>
      <c r="U41" s="240"/>
      <c r="V41" s="240"/>
    </row>
    <row r="42" spans="2:22" ht="12.75">
      <c r="B42" s="241"/>
      <c r="C42" s="241"/>
      <c r="D42" s="241"/>
      <c r="E42" s="306"/>
      <c r="F42" s="240"/>
      <c r="G42" s="242"/>
      <c r="H42" s="240"/>
      <c r="I42" s="240"/>
      <c r="J42" s="240"/>
      <c r="K42" s="240"/>
      <c r="L42" s="240"/>
      <c r="M42" s="240"/>
      <c r="N42" s="240"/>
      <c r="O42" s="240"/>
      <c r="P42" s="240"/>
      <c r="Q42" s="240"/>
      <c r="R42" s="240"/>
      <c r="S42" s="240"/>
      <c r="T42" s="240"/>
      <c r="U42" s="240"/>
      <c r="V42" s="240"/>
    </row>
    <row r="43" spans="2:22" ht="12.75">
      <c r="B43" s="241"/>
      <c r="C43" s="241"/>
      <c r="D43" s="241"/>
      <c r="E43" s="306"/>
      <c r="F43" s="240"/>
      <c r="G43" s="242"/>
      <c r="H43" s="240"/>
      <c r="I43" s="240"/>
      <c r="J43" s="240"/>
      <c r="K43" s="240"/>
      <c r="L43" s="240"/>
      <c r="M43" s="240"/>
      <c r="N43" s="240"/>
      <c r="O43" s="240"/>
      <c r="P43" s="240"/>
      <c r="Q43" s="240"/>
      <c r="R43" s="240"/>
      <c r="S43" s="240"/>
      <c r="T43" s="240"/>
      <c r="U43" s="240"/>
      <c r="V43" s="240"/>
    </row>
    <row r="44" spans="2:22" ht="12.75">
      <c r="B44" s="241"/>
      <c r="C44" s="241"/>
      <c r="D44" s="241"/>
      <c r="E44" s="306"/>
      <c r="F44" s="240"/>
      <c r="G44" s="242"/>
      <c r="H44" s="240"/>
      <c r="I44" s="240"/>
      <c r="J44" s="240"/>
      <c r="K44" s="240"/>
      <c r="L44" s="240"/>
      <c r="M44" s="240"/>
      <c r="N44" s="240"/>
      <c r="O44" s="240"/>
      <c r="P44" s="240"/>
      <c r="Q44" s="240"/>
      <c r="R44" s="240"/>
      <c r="S44" s="240"/>
      <c r="T44" s="240"/>
      <c r="U44" s="240"/>
      <c r="V44" s="240"/>
    </row>
    <row r="45" spans="2:22" ht="12.75">
      <c r="B45" s="241"/>
      <c r="C45" s="241"/>
      <c r="D45" s="241"/>
      <c r="E45" s="306"/>
      <c r="F45" s="240"/>
      <c r="G45" s="241"/>
      <c r="H45" s="240"/>
      <c r="I45" s="240"/>
      <c r="J45" s="240"/>
      <c r="K45" s="240"/>
      <c r="L45" s="240"/>
      <c r="M45" s="240"/>
      <c r="N45" s="240"/>
      <c r="O45" s="240"/>
      <c r="P45" s="240"/>
      <c r="Q45" s="240"/>
      <c r="R45" s="240"/>
      <c r="S45" s="240"/>
      <c r="T45" s="240"/>
      <c r="U45" s="240"/>
      <c r="V45" s="240"/>
    </row>
    <row r="46" spans="2:22" ht="12.75">
      <c r="B46" s="241"/>
      <c r="C46" s="241"/>
      <c r="D46" s="241"/>
      <c r="E46" s="306"/>
      <c r="F46" s="240"/>
      <c r="G46" s="30"/>
      <c r="H46" s="240"/>
      <c r="I46" s="240"/>
      <c r="J46" s="240"/>
      <c r="K46" s="240"/>
      <c r="L46" s="240"/>
      <c r="M46" s="240"/>
      <c r="N46" s="240"/>
      <c r="O46" s="240"/>
      <c r="P46" s="240"/>
      <c r="Q46" s="240"/>
      <c r="R46" s="240"/>
      <c r="S46" s="240"/>
      <c r="T46" s="240"/>
      <c r="U46" s="240"/>
      <c r="V46" s="240"/>
    </row>
    <row r="47" spans="2:22" ht="12.75">
      <c r="B47" s="241"/>
      <c r="C47" s="241"/>
      <c r="D47" s="241"/>
      <c r="E47" s="306"/>
      <c r="F47" s="240"/>
      <c r="G47" s="241"/>
      <c r="H47" s="240"/>
      <c r="I47" s="240"/>
      <c r="J47" s="240"/>
      <c r="K47" s="240"/>
      <c r="L47" s="240"/>
      <c r="M47" s="240"/>
      <c r="N47" s="240"/>
      <c r="O47" s="240"/>
      <c r="P47" s="240"/>
      <c r="Q47" s="240"/>
      <c r="R47" s="240"/>
      <c r="S47" s="240"/>
      <c r="T47" s="240"/>
      <c r="U47" s="240"/>
      <c r="V47" s="240"/>
    </row>
    <row r="48" spans="2:22" ht="12.75">
      <c r="B48" s="241"/>
      <c r="C48" s="241"/>
      <c r="D48" s="241"/>
      <c r="E48" s="306"/>
      <c r="F48" s="240"/>
      <c r="G48" s="241"/>
      <c r="H48" s="240"/>
      <c r="I48" s="240"/>
      <c r="J48" s="240"/>
      <c r="K48" s="240"/>
      <c r="L48" s="240"/>
      <c r="M48" s="240"/>
      <c r="N48" s="240"/>
      <c r="O48" s="240"/>
      <c r="P48" s="240"/>
      <c r="Q48" s="240"/>
      <c r="R48" s="240"/>
      <c r="S48" s="240"/>
      <c r="T48" s="240"/>
      <c r="U48" s="240"/>
      <c r="V48" s="240"/>
    </row>
    <row r="49" spans="1:22" ht="12.75">
      <c r="A49" s="241"/>
      <c r="B49" s="241"/>
      <c r="C49" s="241"/>
      <c r="D49" s="241"/>
      <c r="E49" s="306"/>
      <c r="F49" s="240"/>
      <c r="G49" s="87"/>
      <c r="H49" s="240"/>
      <c r="I49" s="240"/>
      <c r="J49" s="240"/>
      <c r="K49" s="240"/>
      <c r="L49" s="240"/>
      <c r="M49" s="240"/>
      <c r="N49" s="240"/>
      <c r="O49" s="240"/>
      <c r="P49" s="240"/>
      <c r="Q49" s="240"/>
      <c r="R49" s="240"/>
      <c r="S49" s="240"/>
      <c r="T49" s="240"/>
      <c r="U49" s="240"/>
      <c r="V49" s="240"/>
    </row>
    <row r="50" spans="1:22" ht="12.75">
      <c r="A50" s="241"/>
      <c r="B50" s="241"/>
      <c r="C50" s="241"/>
      <c r="D50" s="241"/>
      <c r="E50" s="306"/>
      <c r="F50" s="240"/>
      <c r="G50" s="85"/>
      <c r="H50" s="240"/>
      <c r="I50" s="240"/>
      <c r="J50" s="240"/>
      <c r="K50" s="240"/>
      <c r="L50" s="240"/>
      <c r="M50" s="240"/>
      <c r="N50" s="240"/>
      <c r="O50" s="240"/>
      <c r="P50" s="240"/>
      <c r="Q50" s="240"/>
      <c r="R50" s="240"/>
      <c r="S50" s="240"/>
      <c r="T50" s="240"/>
      <c r="U50" s="240"/>
      <c r="V50" s="240"/>
    </row>
    <row r="51" spans="1:22" ht="12.75">
      <c r="A51" s="241"/>
      <c r="B51" s="241"/>
      <c r="C51" s="241"/>
      <c r="D51" s="241"/>
      <c r="E51" s="306"/>
      <c r="F51" s="306"/>
      <c r="G51" s="306"/>
      <c r="H51" s="240"/>
      <c r="I51" s="240"/>
      <c r="J51" s="240"/>
      <c r="K51" s="240"/>
      <c r="L51" s="240"/>
      <c r="M51" s="240"/>
      <c r="N51" s="240"/>
      <c r="O51" s="240"/>
      <c r="P51" s="240"/>
      <c r="Q51" s="240"/>
      <c r="R51" s="240"/>
      <c r="S51" s="240"/>
      <c r="T51" s="240"/>
      <c r="U51" s="240"/>
      <c r="V51" s="240"/>
    </row>
    <row r="52" spans="1:22" ht="12.75">
      <c r="A52" s="241"/>
      <c r="B52" s="241"/>
      <c r="C52" s="241"/>
      <c r="D52" s="241"/>
      <c r="E52" s="306"/>
      <c r="F52" s="306"/>
      <c r="G52" s="306"/>
      <c r="H52" s="240"/>
      <c r="I52" s="240"/>
      <c r="J52" s="240"/>
      <c r="K52" s="240"/>
      <c r="L52" s="240"/>
      <c r="M52" s="240"/>
      <c r="N52" s="240"/>
      <c r="O52" s="240"/>
      <c r="P52" s="240"/>
      <c r="Q52" s="240"/>
      <c r="R52" s="240"/>
      <c r="S52" s="240"/>
      <c r="T52" s="240"/>
      <c r="U52" s="240"/>
      <c r="V52" s="240"/>
    </row>
    <row r="53" spans="1:22" ht="12.75">
      <c r="A53" s="240"/>
      <c r="B53" s="240"/>
      <c r="C53" s="198"/>
      <c r="D53" s="306"/>
      <c r="E53" s="306"/>
      <c r="F53" s="306"/>
      <c r="G53" s="306"/>
      <c r="H53" s="240"/>
      <c r="I53" s="240"/>
      <c r="J53" s="240"/>
      <c r="K53" s="240"/>
      <c r="L53" s="240"/>
      <c r="M53" s="240"/>
      <c r="N53" s="240"/>
      <c r="O53" s="240"/>
      <c r="P53" s="240"/>
      <c r="Q53" s="240"/>
      <c r="R53" s="240"/>
      <c r="S53" s="240"/>
      <c r="T53" s="240"/>
      <c r="U53" s="240"/>
      <c r="V53" s="240"/>
    </row>
    <row r="54" spans="1:22" ht="12.75">
      <c r="A54" s="240"/>
      <c r="B54" s="240"/>
      <c r="C54" s="198"/>
      <c r="D54" s="306"/>
      <c r="E54" s="306"/>
      <c r="F54" s="306"/>
      <c r="G54" s="306"/>
      <c r="H54" s="240"/>
      <c r="I54" s="240"/>
      <c r="J54" s="240"/>
      <c r="K54" s="240"/>
      <c r="L54" s="240"/>
      <c r="M54" s="240"/>
      <c r="N54" s="240"/>
      <c r="O54" s="240"/>
      <c r="P54" s="240"/>
      <c r="Q54" s="240"/>
      <c r="R54" s="240"/>
      <c r="S54" s="240"/>
      <c r="T54" s="240"/>
      <c r="U54" s="240"/>
      <c r="V54" s="240"/>
    </row>
    <row r="55" spans="1:22" ht="12.75">
      <c r="A55" s="240"/>
      <c r="B55" s="240"/>
      <c r="C55" s="198"/>
      <c r="D55" s="306"/>
      <c r="E55" s="306"/>
      <c r="F55" s="306"/>
      <c r="G55" s="306"/>
      <c r="H55" s="240"/>
      <c r="I55" s="240"/>
      <c r="J55" s="240"/>
      <c r="K55" s="240"/>
      <c r="L55" s="240"/>
      <c r="M55" s="240"/>
      <c r="N55" s="240"/>
      <c r="O55" s="240"/>
      <c r="P55" s="240"/>
      <c r="Q55" s="240"/>
      <c r="R55" s="240"/>
      <c r="S55" s="240"/>
      <c r="T55" s="240"/>
      <c r="U55" s="240"/>
      <c r="V55" s="240"/>
    </row>
    <row r="56" spans="1:22" ht="12.75">
      <c r="A56" s="240"/>
      <c r="B56" s="240"/>
      <c r="C56" s="198"/>
      <c r="D56" s="306"/>
      <c r="E56" s="306"/>
      <c r="F56" s="306"/>
      <c r="G56" s="306"/>
      <c r="H56" s="240"/>
      <c r="I56" s="241"/>
      <c r="J56" s="241"/>
      <c r="K56" s="241"/>
      <c r="L56" s="241"/>
      <c r="M56" s="241"/>
      <c r="N56" s="241"/>
      <c r="O56" s="241"/>
      <c r="P56" s="241"/>
      <c r="Q56" s="241"/>
      <c r="R56" s="241"/>
      <c r="S56" s="241"/>
      <c r="T56" s="241"/>
      <c r="U56" s="241"/>
      <c r="V56" s="241"/>
    </row>
    <row r="57" spans="1:22" ht="12.75">
      <c r="A57" s="240"/>
      <c r="B57" s="240"/>
      <c r="C57" s="198"/>
      <c r="D57" s="306"/>
      <c r="E57" s="306"/>
      <c r="F57" s="306"/>
      <c r="G57" s="306"/>
      <c r="H57" s="241"/>
      <c r="I57" s="241"/>
      <c r="J57" s="241"/>
      <c r="K57" s="241"/>
      <c r="L57" s="241"/>
      <c r="M57" s="241"/>
      <c r="N57" s="241"/>
      <c r="O57" s="241"/>
      <c r="P57" s="241"/>
      <c r="Q57" s="241"/>
      <c r="R57" s="241"/>
      <c r="S57" s="241"/>
      <c r="T57" s="241"/>
      <c r="U57" s="241"/>
      <c r="V57" s="241"/>
    </row>
    <row r="58" spans="1:22" ht="12.75">
      <c r="A58" s="240"/>
      <c r="B58" s="240"/>
      <c r="C58" s="198"/>
      <c r="D58" s="306"/>
      <c r="E58" s="306"/>
      <c r="F58" s="306"/>
      <c r="G58" s="306"/>
      <c r="H58" s="241"/>
      <c r="I58" s="241"/>
      <c r="J58" s="241"/>
      <c r="K58" s="241"/>
      <c r="L58" s="241"/>
      <c r="M58" s="241"/>
      <c r="N58" s="241"/>
      <c r="O58" s="241"/>
      <c r="P58" s="241"/>
      <c r="Q58" s="241"/>
      <c r="R58" s="241"/>
      <c r="S58" s="241"/>
      <c r="T58" s="241"/>
      <c r="U58" s="241"/>
      <c r="V58" s="241"/>
    </row>
    <row r="59" spans="1:22" ht="12.75">
      <c r="A59" s="240"/>
      <c r="B59" s="240"/>
      <c r="C59" s="198"/>
      <c r="D59" s="306"/>
      <c r="E59" s="306"/>
      <c r="F59" s="306"/>
      <c r="G59" s="306"/>
      <c r="H59" s="241"/>
      <c r="I59" s="241"/>
      <c r="J59" s="241"/>
      <c r="K59" s="241"/>
      <c r="L59" s="241"/>
      <c r="M59" s="241"/>
      <c r="N59" s="241"/>
      <c r="O59" s="241"/>
      <c r="P59" s="241"/>
      <c r="Q59" s="241"/>
      <c r="R59" s="241"/>
      <c r="S59" s="241"/>
      <c r="T59" s="241"/>
      <c r="U59" s="241"/>
      <c r="V59" s="241"/>
    </row>
    <row r="60" spans="1:22" ht="12.75">
      <c r="A60" s="240"/>
      <c r="B60" s="240"/>
      <c r="C60" s="198"/>
      <c r="D60" s="306"/>
      <c r="E60" s="306"/>
      <c r="F60" s="306"/>
      <c r="G60" s="306"/>
      <c r="H60" s="241"/>
      <c r="I60" s="241"/>
      <c r="J60" s="241"/>
      <c r="K60" s="241"/>
      <c r="L60" s="241"/>
      <c r="M60" s="241"/>
      <c r="N60" s="241"/>
      <c r="O60" s="241"/>
      <c r="P60" s="241"/>
      <c r="Q60" s="241"/>
      <c r="R60" s="241"/>
      <c r="S60" s="241"/>
      <c r="T60" s="241"/>
      <c r="U60" s="241"/>
      <c r="V60" s="241"/>
    </row>
    <row r="61" spans="1:22" ht="12.75">
      <c r="A61" s="240"/>
      <c r="B61" s="240"/>
      <c r="C61" s="198"/>
      <c r="D61" s="306"/>
      <c r="E61" s="306"/>
      <c r="F61" s="306"/>
      <c r="G61" s="306"/>
      <c r="H61" s="241"/>
      <c r="I61" s="241"/>
      <c r="J61" s="241"/>
      <c r="K61" s="241"/>
      <c r="L61" s="241"/>
      <c r="M61" s="241"/>
      <c r="N61" s="241"/>
      <c r="O61" s="241"/>
      <c r="P61" s="241"/>
      <c r="Q61" s="241"/>
      <c r="R61" s="241"/>
      <c r="S61" s="241"/>
      <c r="T61" s="241"/>
      <c r="U61" s="241"/>
      <c r="V61" s="241"/>
    </row>
    <row r="62" spans="1:22" ht="12.75">
      <c r="A62" s="240"/>
      <c r="B62" s="240"/>
      <c r="C62" s="198"/>
      <c r="D62" s="306"/>
      <c r="E62" s="306"/>
      <c r="F62" s="306"/>
      <c r="G62" s="306"/>
      <c r="H62" s="241"/>
      <c r="I62" s="241"/>
      <c r="J62" s="241"/>
      <c r="K62" s="241"/>
      <c r="L62" s="241"/>
      <c r="M62" s="241"/>
      <c r="N62" s="241"/>
      <c r="O62" s="241"/>
      <c r="P62" s="241"/>
      <c r="Q62" s="241"/>
      <c r="R62" s="241"/>
      <c r="S62" s="241"/>
      <c r="T62" s="241"/>
      <c r="U62" s="241"/>
      <c r="V62" s="241"/>
    </row>
    <row r="63" spans="1:22" ht="12.75">
      <c r="A63" s="240"/>
      <c r="B63" s="240"/>
      <c r="C63" s="198"/>
      <c r="D63" s="306"/>
      <c r="E63" s="306"/>
      <c r="F63" s="306"/>
      <c r="G63" s="306"/>
      <c r="H63" s="241"/>
      <c r="I63" s="241"/>
      <c r="J63" s="241"/>
      <c r="K63" s="241"/>
      <c r="L63" s="241"/>
      <c r="M63" s="241"/>
      <c r="N63" s="241"/>
      <c r="O63" s="241"/>
      <c r="P63" s="241"/>
      <c r="Q63" s="241"/>
      <c r="R63" s="241"/>
      <c r="S63" s="241"/>
      <c r="T63" s="241"/>
      <c r="U63" s="241"/>
      <c r="V63" s="241"/>
    </row>
    <row r="64" spans="1:22" ht="12.75">
      <c r="A64" s="240"/>
      <c r="B64" s="240"/>
      <c r="C64" s="198"/>
      <c r="D64" s="306"/>
      <c r="E64" s="306"/>
      <c r="F64" s="306"/>
      <c r="G64" s="306"/>
      <c r="H64" s="241"/>
      <c r="I64" s="241"/>
      <c r="J64" s="241"/>
      <c r="K64" s="241"/>
      <c r="L64" s="241"/>
      <c r="M64" s="241"/>
      <c r="N64" s="241"/>
      <c r="O64" s="241"/>
      <c r="P64" s="241"/>
      <c r="Q64" s="241"/>
      <c r="R64" s="241"/>
      <c r="S64" s="241"/>
      <c r="T64" s="241"/>
      <c r="U64" s="241"/>
      <c r="V64" s="241"/>
    </row>
    <row r="65" spans="1:7" ht="12.75">
      <c r="A65" s="240"/>
      <c r="B65" s="240"/>
      <c r="C65" s="198"/>
      <c r="D65" s="306"/>
      <c r="E65" s="306"/>
      <c r="F65" s="306"/>
      <c r="G65" s="306"/>
    </row>
    <row r="66" spans="1:7" ht="12.75">
      <c r="A66" s="240"/>
      <c r="B66" s="240"/>
      <c r="C66" s="198"/>
      <c r="D66" s="306"/>
      <c r="E66" s="306"/>
      <c r="F66" s="306"/>
      <c r="G66" s="306"/>
    </row>
    <row r="67" spans="1:7" ht="12.75">
      <c r="A67" s="240"/>
      <c r="B67" s="240"/>
      <c r="C67" s="198"/>
      <c r="D67" s="306"/>
      <c r="E67" s="306"/>
      <c r="F67" s="306"/>
      <c r="G67" s="306"/>
    </row>
    <row r="68" spans="1:7" ht="12.75">
      <c r="A68" s="240"/>
      <c r="B68" s="240"/>
      <c r="C68" s="198"/>
      <c r="D68" s="306"/>
      <c r="E68" s="306"/>
      <c r="F68" s="306"/>
      <c r="G68" s="306"/>
    </row>
    <row r="69" spans="1:7" ht="12.75">
      <c r="A69" s="240"/>
      <c r="B69" s="240"/>
      <c r="C69" s="198"/>
      <c r="D69" s="306"/>
      <c r="E69" s="306"/>
      <c r="F69" s="306"/>
      <c r="G69" s="306"/>
    </row>
    <row r="70" spans="1:7" ht="12.75">
      <c r="A70" s="240"/>
      <c r="B70" s="240"/>
      <c r="C70" s="241"/>
      <c r="D70" s="241"/>
      <c r="E70" s="241"/>
      <c r="F70" s="241"/>
      <c r="G70" s="241"/>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1" zoomScale="85" zoomScaleNormal="85" workbookViewId="0">
      <selection activeCell="D38" sqref="D38"/>
    </sheetView>
  </sheetViews>
  <sheetFormatPr defaultRowHeight="13.15"/>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ht="12.75">
      <c r="C5" s="242" t="s">
        <v>482</v>
      </c>
      <c r="D5" s="241"/>
    </row>
    <row r="7" spans="3:4" ht="12.75">
      <c r="C7" s="242" t="s">
        <v>483</v>
      </c>
      <c r="D7" s="241"/>
    </row>
    <row r="8" spans="3:4" ht="12.75">
      <c r="C8" s="242" t="s">
        <v>484</v>
      </c>
      <c r="D8" s="241"/>
    </row>
    <row r="10" spans="3:4" ht="12.75">
      <c r="C10" s="242" t="s">
        <v>485</v>
      </c>
      <c r="D10" s="241"/>
    </row>
    <row r="11" spans="3:4" ht="12.75">
      <c r="C11" s="242" t="s">
        <v>486</v>
      </c>
      <c r="D11" s="241"/>
    </row>
    <row r="12" spans="3:4" ht="12.75">
      <c r="C12" s="242" t="s">
        <v>487</v>
      </c>
      <c r="D12" s="241"/>
    </row>
    <row r="13" spans="3:4" ht="12.75">
      <c r="C13" s="242" t="s">
        <v>488</v>
      </c>
      <c r="D13" s="241"/>
    </row>
    <row r="14" spans="3:4" ht="12.75">
      <c r="C14" s="242" t="s">
        <v>489</v>
      </c>
      <c r="D14" s="242" t="s">
        <v>490</v>
      </c>
    </row>
    <row r="15" spans="3:4" ht="12" customHeight="1">
      <c r="C15" s="242"/>
      <c r="D15" s="242" t="s">
        <v>491</v>
      </c>
    </row>
    <row r="16" spans="3:4" ht="12" customHeight="1">
      <c r="C16" s="242"/>
      <c r="D16" s="242"/>
    </row>
    <row r="17" spans="3:13" ht="12" customHeight="1">
      <c r="C17" s="242"/>
      <c r="D17" s="242"/>
      <c r="E17" s="241"/>
      <c r="F17" s="241"/>
      <c r="G17" s="241"/>
      <c r="H17" s="241"/>
      <c r="I17" s="241"/>
      <c r="J17" s="241"/>
      <c r="K17" s="241"/>
      <c r="L17" s="241"/>
      <c r="M17" s="241"/>
    </row>
    <row r="18" spans="3:13" ht="12" customHeight="1">
      <c r="C18" s="242"/>
      <c r="D18" s="82" t="s">
        <v>492</v>
      </c>
      <c r="E18" s="241"/>
      <c r="F18" s="241"/>
      <c r="G18" s="241"/>
      <c r="H18" s="241"/>
      <c r="I18" s="241"/>
      <c r="J18" s="241"/>
      <c r="K18" s="241"/>
      <c r="L18" s="241"/>
      <c r="M18" s="241"/>
    </row>
    <row r="19" spans="3:13" ht="12.75">
      <c r="C19" s="242"/>
      <c r="D19" s="242" t="s">
        <v>493</v>
      </c>
      <c r="E19" s="241">
        <f>SOA!H25</f>
        <v>84.75</v>
      </c>
      <c r="F19" s="241"/>
      <c r="G19" s="241"/>
      <c r="H19" s="241"/>
      <c r="I19" s="241"/>
      <c r="J19" s="241"/>
      <c r="K19" s="241"/>
      <c r="L19" s="241"/>
      <c r="M19" s="241"/>
    </row>
    <row r="20" spans="3:13" ht="12.75">
      <c r="C20" s="241"/>
      <c r="D20" s="242" t="s">
        <v>494</v>
      </c>
      <c r="E20" s="241">
        <v>1.5</v>
      </c>
      <c r="F20" s="241"/>
      <c r="G20" s="241"/>
      <c r="H20" s="241"/>
      <c r="I20" s="87" t="s">
        <v>475</v>
      </c>
      <c r="J20" s="241"/>
      <c r="K20" s="306"/>
      <c r="L20" s="306"/>
      <c r="M20" s="306"/>
    </row>
    <row r="21" spans="3:13" ht="12.75">
      <c r="C21" s="241"/>
      <c r="D21" s="242" t="s">
        <v>495</v>
      </c>
      <c r="E21" s="241">
        <f>1/2*COUTMAX*VINMAX^2*0.000001</f>
        <v>1.4449999999999998</v>
      </c>
      <c r="F21" s="241"/>
      <c r="G21" s="241"/>
      <c r="H21" s="241"/>
      <c r="I21" s="241"/>
      <c r="J21" s="82" t="s">
        <v>476</v>
      </c>
      <c r="K21" s="203" t="s">
        <v>477</v>
      </c>
      <c r="L21" s="203" t="s">
        <v>478</v>
      </c>
      <c r="M21" s="203" t="s">
        <v>479</v>
      </c>
    </row>
    <row r="22" spans="3:13" ht="12.75">
      <c r="C22" s="241"/>
      <c r="D22" s="242" t="s">
        <v>496</v>
      </c>
      <c r="E22" s="241">
        <f>MAX(Equations!F58-E21,0)</f>
        <v>2.6037674132161515E-2</v>
      </c>
      <c r="F22" s="241"/>
      <c r="G22" s="241"/>
      <c r="H22" s="241"/>
      <c r="I22" s="87" t="s">
        <v>480</v>
      </c>
      <c r="J22" s="239">
        <v>0.1</v>
      </c>
      <c r="K22" s="302">
        <v>1</v>
      </c>
      <c r="L22" s="306">
        <v>10</v>
      </c>
      <c r="M22" s="198">
        <v>100</v>
      </c>
    </row>
    <row r="23" spans="3:13" ht="12.75">
      <c r="C23" s="241"/>
      <c r="D23" s="242" t="s">
        <v>497</v>
      </c>
      <c r="E23" s="241">
        <f>Equations!F57</f>
        <v>39.950000000000003</v>
      </c>
      <c r="F23" s="241"/>
      <c r="G23" s="241"/>
      <c r="H23" s="241"/>
      <c r="I23" s="239" t="s">
        <v>481</v>
      </c>
      <c r="J23" s="302">
        <v>1</v>
      </c>
      <c r="K23" s="302">
        <v>10</v>
      </c>
      <c r="L23" s="306">
        <v>100</v>
      </c>
      <c r="M23" s="198">
        <v>1000</v>
      </c>
    </row>
    <row r="24" spans="3:13" ht="12.75">
      <c r="C24" s="241"/>
      <c r="D24" s="241"/>
      <c r="E24" s="241"/>
      <c r="F24" s="241"/>
      <c r="G24" s="241"/>
      <c r="H24" s="241"/>
      <c r="I24" s="239" t="s">
        <v>466</v>
      </c>
      <c r="J24" s="302">
        <f>SOA!C33</f>
        <v>110</v>
      </c>
      <c r="K24" s="302">
        <f>SOA!D33</f>
        <v>110</v>
      </c>
      <c r="L24" s="302">
        <f>SOA!E33</f>
        <v>68.055555555555543</v>
      </c>
      <c r="M24" s="302">
        <f>SOA!F33</f>
        <v>18</v>
      </c>
    </row>
    <row r="25" spans="3:13" ht="12.75">
      <c r="C25" s="241"/>
      <c r="D25" s="241" t="s">
        <v>101</v>
      </c>
      <c r="E25" s="241">
        <f>'Design Calculator'!F70</f>
        <v>12</v>
      </c>
      <c r="F25" s="241"/>
      <c r="G25" s="241"/>
      <c r="H25" s="241"/>
      <c r="I25" s="239" t="s">
        <v>467</v>
      </c>
      <c r="J25" s="302">
        <f>SOA!C34</f>
        <v>-0.56066730616973737</v>
      </c>
      <c r="K25" s="302">
        <f>SOA!D34</f>
        <v>-0.49732464080794941</v>
      </c>
      <c r="L25" s="302">
        <f>SOA!E34</f>
        <v>-0.28879553924696955</v>
      </c>
      <c r="M25" s="302">
        <f>SOA!F34</f>
        <v>0</v>
      </c>
    </row>
    <row r="26" spans="3:13" ht="12.75">
      <c r="C26" s="241"/>
      <c r="D26" s="241" t="s">
        <v>102</v>
      </c>
      <c r="E26" s="241" t="str">
        <f>'Design Calculator'!F71</f>
        <v>Resistive</v>
      </c>
      <c r="F26" s="241"/>
      <c r="G26" s="241"/>
      <c r="H26" s="241"/>
      <c r="I26" s="241"/>
      <c r="J26" s="241"/>
      <c r="K26" s="241"/>
      <c r="L26" s="241"/>
      <c r="M26" s="241"/>
    </row>
    <row r="27" spans="3:13" ht="12.75">
      <c r="C27" s="241"/>
      <c r="D27" s="241" t="s">
        <v>104</v>
      </c>
      <c r="E27" s="241">
        <f>'Design Calculator'!F72</f>
        <v>10</v>
      </c>
      <c r="F27" s="241"/>
      <c r="G27" s="241"/>
      <c r="H27" s="241"/>
      <c r="I27" s="197" t="s">
        <v>498</v>
      </c>
      <c r="J27" s="82" t="s">
        <v>443</v>
      </c>
      <c r="K27" s="241"/>
      <c r="L27" s="241"/>
      <c r="M27" s="241"/>
    </row>
    <row r="28" spans="3:13" ht="12.75">
      <c r="C28" s="241"/>
      <c r="D28" s="241"/>
      <c r="E28" s="241"/>
      <c r="F28" s="241"/>
      <c r="G28" s="241" t="s">
        <v>499</v>
      </c>
      <c r="H28" s="241"/>
      <c r="I28" s="3">
        <f>SUM(E58:X58)</f>
        <v>2.1995768529989235</v>
      </c>
      <c r="J28" s="3">
        <f>IF(I28=0, "NA", I28/AVERAGE(1, E32))</f>
        <v>2.4648433285578175</v>
      </c>
      <c r="K28" s="241"/>
      <c r="L28" s="241"/>
      <c r="M28" s="241"/>
    </row>
    <row r="29" spans="3:13" ht="12.75">
      <c r="C29" s="241"/>
      <c r="D29" s="242" t="s">
        <v>500</v>
      </c>
      <c r="E29" s="241">
        <f>12/1</f>
        <v>12</v>
      </c>
      <c r="F29" s="241"/>
      <c r="G29" s="241" t="s">
        <v>501</v>
      </c>
      <c r="H29" s="241"/>
      <c r="I29" s="3">
        <f>SUM(E59:X59)</f>
        <v>0.12</v>
      </c>
      <c r="J29" s="3">
        <f>IF(I29=0, "NA", I29*AVERAGE(1,E32))</f>
        <v>0.10708559822108767</v>
      </c>
      <c r="K29" s="241"/>
      <c r="L29" s="241"/>
      <c r="M29" s="241"/>
    </row>
    <row r="30" spans="3:13" ht="12.75">
      <c r="C30" s="241"/>
      <c r="D30" s="242" t="s">
        <v>502</v>
      </c>
      <c r="E30" s="241">
        <v>0.12</v>
      </c>
      <c r="F30" s="241"/>
      <c r="G30" s="241"/>
      <c r="H30" s="241"/>
      <c r="I30" s="241"/>
      <c r="J30" s="241"/>
      <c r="K30" s="241"/>
      <c r="L30" s="241"/>
      <c r="M30" s="241"/>
    </row>
    <row r="31" spans="3:13" ht="12.75">
      <c r="C31" s="241"/>
      <c r="D31" s="242" t="s">
        <v>503</v>
      </c>
      <c r="E31" s="241">
        <v>20</v>
      </c>
      <c r="F31" s="241"/>
      <c r="G31" s="241"/>
      <c r="H31" s="241"/>
      <c r="I31" s="241"/>
      <c r="J31" s="241"/>
      <c r="K31" s="241"/>
      <c r="L31" s="241"/>
      <c r="M31" s="241"/>
    </row>
    <row r="32" spans="3:13" ht="12.75">
      <c r="C32" s="241"/>
      <c r="D32" s="242" t="s">
        <v>504</v>
      </c>
      <c r="E32" s="241">
        <f>(E30/E29)^(1/(E31-1))</f>
        <v>0.78475997035146128</v>
      </c>
      <c r="F32" s="241"/>
      <c r="G32" s="241"/>
      <c r="H32" s="241"/>
      <c r="I32" s="241"/>
      <c r="J32" s="241"/>
      <c r="K32" s="241"/>
      <c r="L32" s="241"/>
      <c r="M32" s="241"/>
    </row>
    <row r="33" spans="4:24" ht="12.75">
      <c r="D33" s="242"/>
      <c r="E33" s="241"/>
      <c r="F33" s="241"/>
      <c r="G33" s="241"/>
      <c r="H33" s="241"/>
      <c r="I33" s="241"/>
      <c r="J33" s="241"/>
      <c r="K33" s="241"/>
      <c r="L33" s="241"/>
      <c r="M33" s="241"/>
      <c r="N33" s="241"/>
      <c r="O33" s="241"/>
      <c r="P33" s="241"/>
      <c r="Q33" s="241"/>
      <c r="R33" s="241"/>
      <c r="S33" s="241"/>
      <c r="T33" s="241"/>
      <c r="U33" s="241"/>
      <c r="V33" s="241"/>
      <c r="W33" s="241"/>
      <c r="X33" s="241"/>
    </row>
    <row r="34" spans="4:24" ht="12.75">
      <c r="D34" s="241"/>
      <c r="E34" s="241">
        <v>1</v>
      </c>
      <c r="F34" s="241">
        <v>2</v>
      </c>
      <c r="G34" s="241">
        <v>3</v>
      </c>
      <c r="H34" s="241">
        <v>4</v>
      </c>
      <c r="I34" s="241">
        <v>5</v>
      </c>
      <c r="J34" s="241">
        <v>6</v>
      </c>
      <c r="K34" s="241">
        <v>7</v>
      </c>
      <c r="L34" s="241">
        <v>8</v>
      </c>
      <c r="M34" s="241">
        <v>9</v>
      </c>
      <c r="N34" s="241">
        <v>10</v>
      </c>
      <c r="O34" s="241">
        <v>11</v>
      </c>
      <c r="P34" s="241">
        <v>12</v>
      </c>
      <c r="Q34" s="241">
        <v>13</v>
      </c>
      <c r="R34" s="241">
        <v>14</v>
      </c>
      <c r="S34" s="241">
        <v>15</v>
      </c>
      <c r="T34" s="241">
        <v>16</v>
      </c>
      <c r="U34" s="241">
        <v>17</v>
      </c>
      <c r="V34" s="241">
        <v>18</v>
      </c>
      <c r="W34" s="241">
        <v>19</v>
      </c>
      <c r="X34" s="241">
        <v>20</v>
      </c>
    </row>
    <row r="35" spans="4:24" ht="12.75">
      <c r="D35" s="202" t="s">
        <v>505</v>
      </c>
      <c r="E35" s="202">
        <f>E29</f>
        <v>12</v>
      </c>
      <c r="F35" s="202">
        <f>E35*$E$32</f>
        <v>9.4171196442175358</v>
      </c>
      <c r="G35" s="202">
        <f t="shared" ref="G35:X35" si="0">F35*$E$32</f>
        <v>7.3901785327923166</v>
      </c>
      <c r="H35" s="202">
        <f t="shared" si="0"/>
        <v>5.7995162862861038</v>
      </c>
      <c r="I35" s="202">
        <f t="shared" si="0"/>
        <v>4.5512282288787</v>
      </c>
      <c r="J35" s="202">
        <f t="shared" si="0"/>
        <v>3.5716217299575823</v>
      </c>
      <c r="K35" s="202">
        <f t="shared" si="0"/>
        <v>2.802865762908147</v>
      </c>
      <c r="L35" s="202">
        <f t="shared" si="0"/>
        <v>2.1995768529989235</v>
      </c>
      <c r="M35" s="202">
        <f t="shared" si="0"/>
        <v>1.7261398659451956</v>
      </c>
      <c r="N35" s="202">
        <f t="shared" si="0"/>
        <v>1.354605470021627</v>
      </c>
      <c r="O35" s="202">
        <f t="shared" si="0"/>
        <v>1.0630401484920993</v>
      </c>
      <c r="P35" s="202">
        <f t="shared" si="0"/>
        <v>0.83423135541307281</v>
      </c>
      <c r="Q35" s="202">
        <f t="shared" si="0"/>
        <v>0.65467137374022233</v>
      </c>
      <c r="R35" s="202">
        <f t="shared" si="0"/>
        <v>0.51375988784632731</v>
      </c>
      <c r="S35" s="202">
        <f t="shared" si="0"/>
        <v>0.40317819435405389</v>
      </c>
      <c r="T35" s="202">
        <f t="shared" si="0"/>
        <v>0.316398107847643</v>
      </c>
      <c r="U35" s="202">
        <f t="shared" si="0"/>
        <v>0.24829656973377476</v>
      </c>
      <c r="V35" s="202">
        <f t="shared" si="0"/>
        <v>0.19485320870264661</v>
      </c>
      <c r="W35" s="202">
        <f t="shared" si="0"/>
        <v>0.15291299828437604</v>
      </c>
      <c r="X35" s="202">
        <f t="shared" si="0"/>
        <v>0.12</v>
      </c>
    </row>
    <row r="36" spans="4:24" ht="12.75">
      <c r="D36" s="242" t="s">
        <v>506</v>
      </c>
      <c r="E36" s="241">
        <f t="shared" ref="E36:X36" si="1">VINMAX/E35</f>
        <v>1.4166666666666667</v>
      </c>
      <c r="F36" s="241">
        <f t="shared" si="1"/>
        <v>1.8052228964127728</v>
      </c>
      <c r="G36" s="241">
        <f t="shared" si="1"/>
        <v>2.3003503805173557</v>
      </c>
      <c r="H36" s="241">
        <f t="shared" si="1"/>
        <v>2.9312789482459518</v>
      </c>
      <c r="I36" s="241">
        <f t="shared" si="1"/>
        <v>3.7352554398680073</v>
      </c>
      <c r="J36" s="241">
        <f t="shared" si="1"/>
        <v>4.759742572235357</v>
      </c>
      <c r="K36" s="241">
        <f t="shared" si="1"/>
        <v>6.0652208981858076</v>
      </c>
      <c r="L36" s="241">
        <f t="shared" si="1"/>
        <v>7.7287592733220674</v>
      </c>
      <c r="M36" s="241">
        <f t="shared" si="1"/>
        <v>9.8485646125154407</v>
      </c>
      <c r="N36" s="241">
        <f t="shared" si="1"/>
        <v>12.549779530809502</v>
      </c>
      <c r="O36" s="241">
        <f t="shared" si="1"/>
        <v>15.991870132199759</v>
      </c>
      <c r="P36" s="241">
        <f t="shared" si="1"/>
        <v>20.37804008407522</v>
      </c>
      <c r="Q36" s="241">
        <f t="shared" si="1"/>
        <v>25.967226736792842</v>
      </c>
      <c r="R36" s="241">
        <f t="shared" si="1"/>
        <v>33.089387478776729</v>
      </c>
      <c r="S36" s="241">
        <f t="shared" si="1"/>
        <v>42.164978756443674</v>
      </c>
      <c r="T36" s="241">
        <f t="shared" si="1"/>
        <v>53.729777702040202</v>
      </c>
      <c r="U36" s="241">
        <f t="shared" si="1"/>
        <v>68.466511713099834</v>
      </c>
      <c r="V36" s="241">
        <f t="shared" si="1"/>
        <v>87.24516323435374</v>
      </c>
      <c r="W36" s="241">
        <f t="shared" si="1"/>
        <v>111.17432913312369</v>
      </c>
      <c r="X36" s="241">
        <f t="shared" si="1"/>
        <v>141.66666666666669</v>
      </c>
    </row>
    <row r="37" spans="4:24" ht="12.75">
      <c r="D37" s="242" t="s">
        <v>507</v>
      </c>
      <c r="E37" s="241">
        <f t="shared" ref="E37:X37" si="2">E35*COUTMAX/1000</f>
        <v>120</v>
      </c>
      <c r="F37" s="241">
        <f t="shared" si="2"/>
        <v>94.171196442175358</v>
      </c>
      <c r="G37" s="241">
        <f t="shared" si="2"/>
        <v>73.901785327923164</v>
      </c>
      <c r="H37" s="241">
        <f t="shared" si="2"/>
        <v>57.995162862861044</v>
      </c>
      <c r="I37" s="241">
        <f t="shared" si="2"/>
        <v>45.512282288786999</v>
      </c>
      <c r="J37" s="241">
        <f t="shared" si="2"/>
        <v>35.716217299575824</v>
      </c>
      <c r="K37" s="241">
        <f t="shared" si="2"/>
        <v>28.028657629081469</v>
      </c>
      <c r="L37" s="241">
        <f t="shared" si="2"/>
        <v>21.995768529989235</v>
      </c>
      <c r="M37" s="241">
        <f t="shared" si="2"/>
        <v>17.261398659451956</v>
      </c>
      <c r="N37" s="241">
        <f t="shared" si="2"/>
        <v>13.546054700216269</v>
      </c>
      <c r="O37" s="241">
        <f t="shared" si="2"/>
        <v>10.630401484920993</v>
      </c>
      <c r="P37" s="241">
        <f t="shared" si="2"/>
        <v>8.3423135541307278</v>
      </c>
      <c r="Q37" s="241">
        <f t="shared" si="2"/>
        <v>6.5467137374022233</v>
      </c>
      <c r="R37" s="241">
        <f t="shared" si="2"/>
        <v>5.1375988784632725</v>
      </c>
      <c r="S37" s="241">
        <f t="shared" si="2"/>
        <v>4.0317819435405386</v>
      </c>
      <c r="T37" s="241">
        <f t="shared" si="2"/>
        <v>3.16398107847643</v>
      </c>
      <c r="U37" s="241">
        <f t="shared" si="2"/>
        <v>2.4829656973377476</v>
      </c>
      <c r="V37" s="241">
        <f t="shared" si="2"/>
        <v>1.9485320870264662</v>
      </c>
      <c r="W37" s="241">
        <f t="shared" si="2"/>
        <v>1.5291299828437603</v>
      </c>
      <c r="X37" s="241">
        <f t="shared" si="2"/>
        <v>1.2</v>
      </c>
    </row>
    <row r="38" spans="4:24" ht="12.75">
      <c r="D38" s="242" t="s">
        <v>508</v>
      </c>
      <c r="E38" s="241">
        <f>$E$21+$E$22*E36/$E$23</f>
        <v>1.4459233217777361</v>
      </c>
      <c r="F38" s="241">
        <f>$E$21+$E$22*F36/$E$23</f>
        <v>1.446176565845124</v>
      </c>
      <c r="G38" s="241">
        <f>$E$21+$E$22*G36/$E$23</f>
        <v>1.4464992684254743</v>
      </c>
      <c r="H38" s="241">
        <f t="shared" ref="H38:J38" si="3">$E$21+$E$22*H36/$E$23</f>
        <v>1.4469104802514365</v>
      </c>
      <c r="I38" s="241">
        <f t="shared" si="3"/>
        <v>1.4474344771950853</v>
      </c>
      <c r="J38" s="241">
        <f t="shared" si="3"/>
        <v>1.4481021933929621</v>
      </c>
      <c r="K38" s="241">
        <f>$E$21+$E$22*K36/$E$23</f>
        <v>1.4489530474414651</v>
      </c>
      <c r="L38" s="241">
        <f t="shared" ref="L38:R38" si="4">$E$21+$E$22*L36/$E$23</f>
        <v>1.4500372694719568</v>
      </c>
      <c r="M38" s="241">
        <f t="shared" si="4"/>
        <v>1.4514188664843606</v>
      </c>
      <c r="N38" s="241">
        <f t="shared" si="4"/>
        <v>1.4531794009975891</v>
      </c>
      <c r="O38" s="241">
        <f t="shared" si="4"/>
        <v>1.4554228060892631</v>
      </c>
      <c r="P38" s="241">
        <f t="shared" si="4"/>
        <v>1.4582815210803821</v>
      </c>
      <c r="Q38" s="241">
        <f t="shared" si="4"/>
        <v>1.46192431008482</v>
      </c>
      <c r="R38" s="241">
        <f t="shared" si="4"/>
        <v>1.4665662249913693</v>
      </c>
      <c r="S38" s="241">
        <f t="shared" ref="S38:X38" si="5">$E$21+$E$22*S36/$E$23</f>
        <v>1.4724813010425479</v>
      </c>
      <c r="T38" s="241">
        <f t="shared" si="5"/>
        <v>1.4800187344930962</v>
      </c>
      <c r="U38" s="241">
        <f t="shared" si="5"/>
        <v>1.489623497395532</v>
      </c>
      <c r="V38" s="241">
        <f t="shared" si="5"/>
        <v>1.5018626065057155</v>
      </c>
      <c r="W38" s="241">
        <f>$E$21+$E$22*W36/$E$23</f>
        <v>1.5174585970921135</v>
      </c>
      <c r="X38" s="241">
        <f t="shared" si="5"/>
        <v>1.5373321777736222</v>
      </c>
    </row>
    <row r="39" spans="4:24" ht="12.75">
      <c r="D39" s="242" t="s">
        <v>509</v>
      </c>
      <c r="E39" s="241">
        <f t="shared" ref="E39:X39" si="6">(E37+IF($E$26="Resistive",0,IF($E$25=0,$E$27,0)))*VINMAX</f>
        <v>2040</v>
      </c>
      <c r="F39" s="241">
        <f t="shared" si="6"/>
        <v>1600.9103395169811</v>
      </c>
      <c r="G39" s="241">
        <f t="shared" si="6"/>
        <v>1256.3303505746937</v>
      </c>
      <c r="H39" s="241">
        <f t="shared" si="6"/>
        <v>985.91776866863779</v>
      </c>
      <c r="I39" s="241">
        <f t="shared" si="6"/>
        <v>773.70879890937897</v>
      </c>
      <c r="J39" s="241">
        <f t="shared" si="6"/>
        <v>607.17569409278906</v>
      </c>
      <c r="K39" s="241">
        <f t="shared" si="6"/>
        <v>476.48717969438496</v>
      </c>
      <c r="L39" s="241">
        <f t="shared" si="6"/>
        <v>373.92806500981698</v>
      </c>
      <c r="M39" s="241">
        <f t="shared" si="6"/>
        <v>293.44377721068327</v>
      </c>
      <c r="N39" s="241">
        <f t="shared" si="6"/>
        <v>230.28292990367657</v>
      </c>
      <c r="O39" s="241">
        <f t="shared" si="6"/>
        <v>180.71682524365687</v>
      </c>
      <c r="P39" s="241">
        <f t="shared" si="6"/>
        <v>141.81933042022237</v>
      </c>
      <c r="Q39" s="241">
        <f t="shared" si="6"/>
        <v>111.2941335358378</v>
      </c>
      <c r="R39" s="241">
        <f t="shared" si="6"/>
        <v>87.339180933875639</v>
      </c>
      <c r="S39" s="241">
        <f t="shared" si="6"/>
        <v>68.540293040189155</v>
      </c>
      <c r="T39" s="241">
        <f t="shared" si="6"/>
        <v>53.787678334099311</v>
      </c>
      <c r="U39" s="241">
        <f t="shared" si="6"/>
        <v>42.210416854741709</v>
      </c>
      <c r="V39" s="241">
        <f t="shared" si="6"/>
        <v>33.125045479449923</v>
      </c>
      <c r="W39" s="241">
        <f t="shared" si="6"/>
        <v>25.995209708343925</v>
      </c>
      <c r="X39" s="241">
        <f t="shared" si="6"/>
        <v>20.399999999999999</v>
      </c>
    </row>
    <row r="40" spans="4:24" ht="12.75">
      <c r="D40" s="242" t="s">
        <v>510</v>
      </c>
      <c r="E40" s="241">
        <f t="shared" ref="E40:X40" si="7">(E37+IF($E$26="Resistive", $E$25/$E$27,$E$27)) *(VINMAX-$E$25)</f>
        <v>606</v>
      </c>
      <c r="F40" s="241">
        <f t="shared" si="7"/>
        <v>476.85598221087679</v>
      </c>
      <c r="G40" s="241">
        <f t="shared" si="7"/>
        <v>375.50892663961582</v>
      </c>
      <c r="H40" s="241">
        <f t="shared" si="7"/>
        <v>295.97581431430524</v>
      </c>
      <c r="I40" s="241">
        <f t="shared" si="7"/>
        <v>233.56141144393501</v>
      </c>
      <c r="J40" s="241">
        <f t="shared" si="7"/>
        <v>184.58108649787914</v>
      </c>
      <c r="K40" s="241">
        <f t="shared" si="7"/>
        <v>146.14328814540733</v>
      </c>
      <c r="L40" s="241">
        <f t="shared" si="7"/>
        <v>115.97884264994617</v>
      </c>
      <c r="M40" s="241">
        <f t="shared" si="7"/>
        <v>92.30699329725978</v>
      </c>
      <c r="N40" s="241">
        <f t="shared" si="7"/>
        <v>73.730273501081342</v>
      </c>
      <c r="O40" s="241">
        <f t="shared" si="7"/>
        <v>59.15200742460496</v>
      </c>
      <c r="P40" s="241">
        <f t="shared" si="7"/>
        <v>47.711567770653637</v>
      </c>
      <c r="Q40" s="241">
        <f t="shared" si="7"/>
        <v>38.733568687011115</v>
      </c>
      <c r="R40" s="241">
        <f t="shared" si="7"/>
        <v>31.687994392316362</v>
      </c>
      <c r="S40" s="241">
        <f t="shared" si="7"/>
        <v>26.158909717702695</v>
      </c>
      <c r="T40" s="241">
        <f t="shared" si="7"/>
        <v>21.819905392382147</v>
      </c>
      <c r="U40" s="241">
        <f t="shared" si="7"/>
        <v>18.414828486688741</v>
      </c>
      <c r="V40" s="241">
        <f t="shared" si="7"/>
        <v>15.742660435132333</v>
      </c>
      <c r="W40" s="241">
        <f t="shared" si="7"/>
        <v>13.645649914218803</v>
      </c>
      <c r="X40" s="241">
        <f t="shared" si="7"/>
        <v>12</v>
      </c>
    </row>
    <row r="41" spans="4:24" ht="12.75">
      <c r="D41" s="242" t="s">
        <v>511</v>
      </c>
      <c r="E41" s="241">
        <f t="shared" ref="E41:X41" si="8">IF($E$26="Resistive", -$E$27*E37/2 + VINMAX/2, -1)</f>
        <v>-591.5</v>
      </c>
      <c r="F41" s="241">
        <f t="shared" si="8"/>
        <v>-462.35598221087679</v>
      </c>
      <c r="G41" s="241">
        <f t="shared" si="8"/>
        <v>-361.00892663961582</v>
      </c>
      <c r="H41" s="241">
        <f t="shared" si="8"/>
        <v>-281.47581431430524</v>
      </c>
      <c r="I41" s="241">
        <f t="shared" si="8"/>
        <v>-219.06141144393499</v>
      </c>
      <c r="J41" s="241">
        <f t="shared" si="8"/>
        <v>-170.08108649787911</v>
      </c>
      <c r="K41" s="241">
        <f t="shared" si="8"/>
        <v>-131.64328814540735</v>
      </c>
      <c r="L41" s="241">
        <f t="shared" si="8"/>
        <v>-101.47884264994617</v>
      </c>
      <c r="M41" s="241">
        <f t="shared" si="8"/>
        <v>-77.80699329725978</v>
      </c>
      <c r="N41" s="241">
        <f t="shared" si="8"/>
        <v>-59.230273501081342</v>
      </c>
      <c r="O41" s="241">
        <f t="shared" si="8"/>
        <v>-44.652007424604967</v>
      </c>
      <c r="P41" s="241">
        <f t="shared" si="8"/>
        <v>-33.211567770653637</v>
      </c>
      <c r="Q41" s="241">
        <f t="shared" si="8"/>
        <v>-24.233568687011115</v>
      </c>
      <c r="R41" s="241">
        <f t="shared" si="8"/>
        <v>-17.187994392316362</v>
      </c>
      <c r="S41" s="241">
        <f t="shared" si="8"/>
        <v>-11.658909717702691</v>
      </c>
      <c r="T41" s="241">
        <f t="shared" si="8"/>
        <v>-7.3199053923821502</v>
      </c>
      <c r="U41" s="241">
        <f t="shared" si="8"/>
        <v>-3.9148284866887373</v>
      </c>
      <c r="V41" s="241">
        <f t="shared" si="8"/>
        <v>-1.2426604351323309</v>
      </c>
      <c r="W41" s="241">
        <f t="shared" si="8"/>
        <v>0.85435008578119831</v>
      </c>
      <c r="X41" s="241">
        <f t="shared" si="8"/>
        <v>2.5</v>
      </c>
    </row>
    <row r="42" spans="4:24" ht="12.75">
      <c r="D42" s="242" t="s">
        <v>512</v>
      </c>
      <c r="E42" s="241">
        <f t="shared" ref="E42:X42" si="9">IF(AND(E41&lt;VINMAX, E41&gt;$E$25), (VINMAX-E41)*(E37+E41/$E$27), 0)</f>
        <v>0</v>
      </c>
      <c r="F42" s="241">
        <f t="shared" si="9"/>
        <v>0</v>
      </c>
      <c r="G42" s="241">
        <f t="shared" si="9"/>
        <v>0</v>
      </c>
      <c r="H42" s="241">
        <f t="shared" si="9"/>
        <v>0</v>
      </c>
      <c r="I42" s="241">
        <f t="shared" si="9"/>
        <v>0</v>
      </c>
      <c r="J42" s="241">
        <f t="shared" si="9"/>
        <v>0</v>
      </c>
      <c r="K42" s="241">
        <f t="shared" si="9"/>
        <v>0</v>
      </c>
      <c r="L42" s="241">
        <f t="shared" si="9"/>
        <v>0</v>
      </c>
      <c r="M42" s="241">
        <f t="shared" si="9"/>
        <v>0</v>
      </c>
      <c r="N42" s="241">
        <f t="shared" si="9"/>
        <v>0</v>
      </c>
      <c r="O42" s="241">
        <f t="shared" si="9"/>
        <v>0</v>
      </c>
      <c r="P42" s="241">
        <f t="shared" si="9"/>
        <v>0</v>
      </c>
      <c r="Q42" s="241">
        <f t="shared" si="9"/>
        <v>0</v>
      </c>
      <c r="R42" s="241">
        <f t="shared" si="9"/>
        <v>0</v>
      </c>
      <c r="S42" s="241">
        <f t="shared" si="9"/>
        <v>0</v>
      </c>
      <c r="T42" s="241">
        <f t="shared" si="9"/>
        <v>0</v>
      </c>
      <c r="U42" s="241">
        <f t="shared" si="9"/>
        <v>0</v>
      </c>
      <c r="V42" s="241">
        <f t="shared" si="9"/>
        <v>0</v>
      </c>
      <c r="W42" s="241">
        <f t="shared" si="9"/>
        <v>0</v>
      </c>
      <c r="X42" s="241">
        <f t="shared" si="9"/>
        <v>0</v>
      </c>
    </row>
    <row r="44" spans="4:24" ht="12.75">
      <c r="D44" s="242" t="s">
        <v>513</v>
      </c>
      <c r="E44" s="241">
        <f>MAX(E39,E40,E42)</f>
        <v>2040</v>
      </c>
      <c r="F44" s="241">
        <f>MAX(F39,F40,F42)</f>
        <v>1600.9103395169811</v>
      </c>
      <c r="G44" s="241">
        <f>MAX(G39,G40,G42)</f>
        <v>1256.3303505746937</v>
      </c>
      <c r="H44" s="241">
        <f t="shared" ref="H44:J44" si="10">MAX(H39,H40,H42)</f>
        <v>985.91776866863779</v>
      </c>
      <c r="I44" s="241">
        <f t="shared" si="10"/>
        <v>773.70879890937897</v>
      </c>
      <c r="J44" s="241">
        <f t="shared" si="10"/>
        <v>607.17569409278906</v>
      </c>
      <c r="K44" s="241">
        <f>MAX(K39,K40,K42)</f>
        <v>476.48717969438496</v>
      </c>
      <c r="L44" s="241">
        <f t="shared" ref="L44:R44" si="11">MAX(L39,L40,L42)</f>
        <v>373.92806500981698</v>
      </c>
      <c r="M44" s="241">
        <f t="shared" si="11"/>
        <v>293.44377721068327</v>
      </c>
      <c r="N44" s="241">
        <f t="shared" si="11"/>
        <v>230.28292990367657</v>
      </c>
      <c r="O44" s="241">
        <f t="shared" si="11"/>
        <v>180.71682524365687</v>
      </c>
      <c r="P44" s="241">
        <f t="shared" si="11"/>
        <v>141.81933042022237</v>
      </c>
      <c r="Q44" s="241">
        <f t="shared" si="11"/>
        <v>111.2941335358378</v>
      </c>
      <c r="R44" s="241">
        <f t="shared" si="11"/>
        <v>87.339180933875639</v>
      </c>
      <c r="S44" s="241">
        <f t="shared" ref="S44:X44" si="12">MAX(S39,S40,S42)</f>
        <v>68.540293040189155</v>
      </c>
      <c r="T44" s="241">
        <f t="shared" si="12"/>
        <v>53.787678334099311</v>
      </c>
      <c r="U44" s="241">
        <f t="shared" si="12"/>
        <v>42.210416854741709</v>
      </c>
      <c r="V44" s="241">
        <f t="shared" si="12"/>
        <v>33.125045479449923</v>
      </c>
      <c r="W44" s="241">
        <f t="shared" si="12"/>
        <v>25.995209708343925</v>
      </c>
      <c r="X44" s="241">
        <f t="shared" si="12"/>
        <v>20.399999999999999</v>
      </c>
    </row>
    <row r="45" spans="4:24" ht="12.75">
      <c r="D45" s="242" t="s">
        <v>514</v>
      </c>
      <c r="E45" s="241">
        <f>E38/E44*1000</f>
        <v>0.70878594204790979</v>
      </c>
      <c r="F45" s="241">
        <f>F38/F44*1000</f>
        <v>0.90334638370906983</v>
      </c>
      <c r="G45" s="241">
        <f>G38/G44*1000</f>
        <v>1.1513685614327394</v>
      </c>
      <c r="H45" s="241">
        <f t="shared" ref="H45:J45" si="13">H38/H44*1000</f>
        <v>1.4675772424766351</v>
      </c>
      <c r="I45" s="241">
        <f t="shared" si="13"/>
        <v>1.8707742231126117</v>
      </c>
      <c r="J45" s="241">
        <f t="shared" si="13"/>
        <v>2.3849805047888859</v>
      </c>
      <c r="K45" s="241">
        <f>K38/K44*1000</f>
        <v>3.0409066795266391</v>
      </c>
      <c r="L45" s="241">
        <f t="shared" ref="L45" si="14">L38/L44*1000</f>
        <v>3.8778508626622821</v>
      </c>
      <c r="M45" s="241">
        <f t="shared" ref="M45:N45" si="15">M38/M44*1000</f>
        <v>4.9461565696869023</v>
      </c>
      <c r="N45" s="241">
        <f t="shared" si="15"/>
        <v>6.3104086855479444</v>
      </c>
      <c r="O45" s="241">
        <f t="shared" ref="O45" si="16">O38/O44*1000</f>
        <v>8.0536098624294983</v>
      </c>
      <c r="P45" s="241">
        <f t="shared" ref="P45" si="17">P38/P44*1000</f>
        <v>10.282671034755092</v>
      </c>
      <c r="Q45" s="241">
        <f t="shared" ref="Q45:R45" si="18">Q38/Q44*1000</f>
        <v>13.135681671972998</v>
      </c>
      <c r="R45" s="241">
        <f t="shared" si="18"/>
        <v>16.791618713503905</v>
      </c>
      <c r="S45" s="241">
        <f t="shared" ref="S45" si="19">S38/S44*1000</f>
        <v>21.483440407515424</v>
      </c>
      <c r="T45" s="241">
        <f t="shared" ref="T45:U45" si="20">T38/T44*1000</f>
        <v>27.5159438059408</v>
      </c>
      <c r="U45" s="241">
        <f t="shared" si="20"/>
        <v>35.290423748283715</v>
      </c>
      <c r="V45" s="241">
        <f t="shared" ref="V45" si="21">V38/V44*1000</f>
        <v>45.339186249191393</v>
      </c>
      <c r="W45" s="241">
        <f t="shared" ref="W45" si="22">W38/W44*1000</f>
        <v>58.374547238410642</v>
      </c>
      <c r="X45" s="241">
        <f t="shared" ref="X45" si="23">X38/X44*1000</f>
        <v>75.359420479099128</v>
      </c>
    </row>
    <row r="47" spans="4:24" ht="12.75">
      <c r="D47" s="242" t="s">
        <v>466</v>
      </c>
      <c r="E47" s="241">
        <f>IF(E45&lt;$J$23,$J$24,IF(E45&lt;$K$23,$K$24,IF(E45&lt;$L$23,$L$24,$M$24)))</f>
        <v>110</v>
      </c>
      <c r="F47" s="241">
        <f>IF(F45&lt;$J$23,$J$24,IF(F45&lt;$K$23,$K$24,IF(F45&lt;$L$23,$L$24,$M$24)))</f>
        <v>110</v>
      </c>
      <c r="G47" s="241">
        <f>IF(G45&lt;$J$23,$J$24,IF(G45&lt;$K$23,$K$24,IF(G45&lt;$L$23,$L$24,$M$24)))</f>
        <v>110</v>
      </c>
      <c r="H47" s="241">
        <f t="shared" ref="H47:I47" si="24">IF(H45&lt;$J$23,$J$24,IF(H45&lt;$K$23,$K$24,IF(H45&lt;$L$23,$L$24,$M$24)))</f>
        <v>110</v>
      </c>
      <c r="I47" s="241">
        <f t="shared" si="24"/>
        <v>110</v>
      </c>
      <c r="J47" s="241">
        <f>IF(J45&lt;$J$23,$J$24,IF(J45&lt;$K$23,$K$24,IF(J45&lt;$L$23,$L$24,$M$24)))</f>
        <v>110</v>
      </c>
      <c r="K47" s="241">
        <f>IF(K45&lt;$J$23,$J$24,IF(K45&lt;$K$23,$K$24,IF(K45&lt;$L$23,$L$24,$M$24)))</f>
        <v>110</v>
      </c>
      <c r="L47" s="241">
        <f t="shared" ref="L47:R47" si="25">IF(L45&lt;$J$23,$J$24,IF(L45&lt;$K$23,$K$24,IF(L45&lt;$L$23,$L$24,$M$24)))</f>
        <v>110</v>
      </c>
      <c r="M47" s="241">
        <f t="shared" si="25"/>
        <v>110</v>
      </c>
      <c r="N47" s="241">
        <f t="shared" si="25"/>
        <v>110</v>
      </c>
      <c r="O47" s="241">
        <f t="shared" si="25"/>
        <v>110</v>
      </c>
      <c r="P47" s="241">
        <f t="shared" si="25"/>
        <v>68.055555555555543</v>
      </c>
      <c r="Q47" s="241">
        <f t="shared" si="25"/>
        <v>68.055555555555543</v>
      </c>
      <c r="R47" s="241">
        <f t="shared" si="25"/>
        <v>68.055555555555543</v>
      </c>
      <c r="S47" s="241">
        <f t="shared" ref="S47:X47" si="26">IF(S45&lt;$J$23,$J$24,IF(S45&lt;$K$23,$K$24,IF(S45&lt;$L$23,$L$24,$M$24)))</f>
        <v>68.055555555555543</v>
      </c>
      <c r="T47" s="241">
        <f t="shared" si="26"/>
        <v>68.055555555555543</v>
      </c>
      <c r="U47" s="241">
        <f t="shared" si="26"/>
        <v>68.055555555555543</v>
      </c>
      <c r="V47" s="241">
        <f t="shared" si="26"/>
        <v>68.055555555555543</v>
      </c>
      <c r="W47" s="241">
        <f t="shared" si="26"/>
        <v>68.055555555555543</v>
      </c>
      <c r="X47" s="241">
        <f t="shared" si="26"/>
        <v>68.055555555555543</v>
      </c>
    </row>
    <row r="48" spans="4:24" ht="12.75">
      <c r="D48" s="242" t="s">
        <v>467</v>
      </c>
      <c r="E48" s="241">
        <f>IF(E45&lt;$J$23,$J$25,IF(E45&lt;$K$23,$K$25,IF(E45&lt;$L$23,$L$25,$M$25)))</f>
        <v>-0.56066730616973737</v>
      </c>
      <c r="F48" s="241">
        <f>IF(F45&lt;$J$23,$J$25,IF(F45&lt;$K$23,$K$25,IF(F45&lt;$L$23,$L$25,$M$25)))</f>
        <v>-0.56066730616973737</v>
      </c>
      <c r="G48" s="241">
        <f>IF(G45&lt;$J$23,$J$25,IF(G45&lt;$K$23,$K$25,IF(G45&lt;$L$23,$L$25,$M$25)))</f>
        <v>-0.49732464080794941</v>
      </c>
      <c r="H48" s="241">
        <f t="shared" ref="H48:J48" si="27">IF(H45&lt;$J$23,$J$25,IF(H45&lt;$K$23,$K$25,IF(H45&lt;$L$23,$L$25,$M$25)))</f>
        <v>-0.49732464080794941</v>
      </c>
      <c r="I48" s="241">
        <f t="shared" si="27"/>
        <v>-0.49732464080794941</v>
      </c>
      <c r="J48" s="241">
        <f t="shared" si="27"/>
        <v>-0.49732464080794941</v>
      </c>
      <c r="K48" s="241">
        <f>IF(K45&lt;$J$23,$J$25,IF(K45&lt;$K$23,$K$25,IF(K45&lt;$L$23,$L$25,$M$25)))</f>
        <v>-0.49732464080794941</v>
      </c>
      <c r="L48" s="241">
        <f t="shared" ref="L48:R48" si="28">IF(L45&lt;$J$23,$J$25,IF(L45&lt;$K$23,$K$25,IF(L45&lt;$L$23,$L$25,$M$25)))</f>
        <v>-0.49732464080794941</v>
      </c>
      <c r="M48" s="241">
        <f t="shared" si="28"/>
        <v>-0.49732464080794941</v>
      </c>
      <c r="N48" s="241">
        <f t="shared" si="28"/>
        <v>-0.49732464080794941</v>
      </c>
      <c r="O48" s="241">
        <f t="shared" si="28"/>
        <v>-0.49732464080794941</v>
      </c>
      <c r="P48" s="241">
        <f t="shared" si="28"/>
        <v>-0.28879553924696955</v>
      </c>
      <c r="Q48" s="241">
        <f t="shared" si="28"/>
        <v>-0.28879553924696955</v>
      </c>
      <c r="R48" s="241">
        <f t="shared" si="28"/>
        <v>-0.28879553924696955</v>
      </c>
      <c r="S48" s="241">
        <f t="shared" ref="S48:X48" si="29">IF(S45&lt;$J$23,$J$25,IF(S45&lt;$K$23,$K$25,IF(S45&lt;$L$23,$L$25,$M$25)))</f>
        <v>-0.28879553924696955</v>
      </c>
      <c r="T48" s="241">
        <f t="shared" si="29"/>
        <v>-0.28879553924696955</v>
      </c>
      <c r="U48" s="241">
        <f t="shared" si="29"/>
        <v>-0.28879553924696955</v>
      </c>
      <c r="V48" s="241">
        <f t="shared" si="29"/>
        <v>-0.28879553924696955</v>
      </c>
      <c r="W48" s="241">
        <f t="shared" si="29"/>
        <v>-0.28879553924696955</v>
      </c>
      <c r="X48" s="241">
        <f t="shared" si="29"/>
        <v>-0.28879553924696955</v>
      </c>
    </row>
    <row r="50" spans="4:25" ht="12.75">
      <c r="D50" s="242" t="s">
        <v>515</v>
      </c>
      <c r="E50" s="241">
        <f t="shared" ref="E50:X50" si="30">E47*E45^E48*VINMAX</f>
        <v>2268.0514669456702</v>
      </c>
      <c r="F50" s="241">
        <f t="shared" si="30"/>
        <v>1979.6693145662266</v>
      </c>
      <c r="G50" s="241">
        <f t="shared" si="30"/>
        <v>1743.404624330107</v>
      </c>
      <c r="H50" s="241">
        <f t="shared" si="30"/>
        <v>1545.2076147582948</v>
      </c>
      <c r="I50" s="241">
        <f t="shared" si="30"/>
        <v>1369.4893927056312</v>
      </c>
      <c r="J50" s="241">
        <f>J47*J45^J48*VINMAX</f>
        <v>1213.6936992475833</v>
      </c>
      <c r="K50" s="241">
        <f t="shared" si="30"/>
        <v>1075.5541170520087</v>
      </c>
      <c r="L50" s="241">
        <f t="shared" si="30"/>
        <v>953.06110883394922</v>
      </c>
      <c r="M50" s="241">
        <f t="shared" si="30"/>
        <v>844.43279698841002</v>
      </c>
      <c r="N50" s="241">
        <f t="shared" si="30"/>
        <v>748.08906111613408</v>
      </c>
      <c r="O50" s="241">
        <f t="shared" si="30"/>
        <v>662.6285791581895</v>
      </c>
      <c r="P50" s="241">
        <f t="shared" si="30"/>
        <v>590.22937998987254</v>
      </c>
      <c r="Q50" s="241">
        <f t="shared" si="30"/>
        <v>549.93122408333613</v>
      </c>
      <c r="R50" s="241">
        <f t="shared" si="30"/>
        <v>512.2845253435861</v>
      </c>
      <c r="S50" s="241">
        <f t="shared" si="30"/>
        <v>477.09719214818512</v>
      </c>
      <c r="T50" s="241">
        <f t="shared" si="30"/>
        <v>444.18812911282089</v>
      </c>
      <c r="U50" s="241">
        <f t="shared" si="30"/>
        <v>413.38632294673562</v>
      </c>
      <c r="V50" s="241">
        <f t="shared" si="30"/>
        <v>384.53004912926622</v>
      </c>
      <c r="W50" s="241">
        <f>W47*W45^W48*VINMAX</f>
        <v>357.46623784323083</v>
      </c>
      <c r="X50" s="241">
        <f t="shared" si="30"/>
        <v>332.05005305997491</v>
      </c>
      <c r="Y50" s="241"/>
    </row>
    <row r="51" spans="4:25" ht="12.75">
      <c r="D51" s="242" t="s">
        <v>516</v>
      </c>
      <c r="E51" s="241">
        <f t="shared" ref="E51:X51" si="31">E50*(TJMAX-$E$19)/(TJMAX - 25)</f>
        <v>1364.6109659456449</v>
      </c>
      <c r="F51" s="241">
        <f t="shared" si="31"/>
        <v>1191.1010375973465</v>
      </c>
      <c r="G51" s="241">
        <f t="shared" si="31"/>
        <v>1048.9484489719478</v>
      </c>
      <c r="H51" s="241">
        <f t="shared" si="31"/>
        <v>929.69991487957407</v>
      </c>
      <c r="I51" s="241">
        <f t="shared" si="31"/>
        <v>823.97611794455486</v>
      </c>
      <c r="J51" s="241">
        <f t="shared" si="31"/>
        <v>730.23904238062926</v>
      </c>
      <c r="K51" s="241">
        <f t="shared" si="31"/>
        <v>647.12506042629184</v>
      </c>
      <c r="L51" s="241">
        <f t="shared" si="31"/>
        <v>573.4251004817595</v>
      </c>
      <c r="M51" s="241">
        <f t="shared" si="31"/>
        <v>508.06706618802673</v>
      </c>
      <c r="N51" s="241">
        <f t="shared" si="31"/>
        <v>450.10025177154068</v>
      </c>
      <c r="O51" s="241">
        <f t="shared" si="31"/>
        <v>398.68152846017733</v>
      </c>
      <c r="P51" s="241">
        <f t="shared" si="31"/>
        <v>355.12134362723998</v>
      </c>
      <c r="Q51" s="241">
        <f t="shared" si="31"/>
        <v>330.87528649014058</v>
      </c>
      <c r="R51" s="241">
        <f t="shared" si="31"/>
        <v>308.224522748391</v>
      </c>
      <c r="S51" s="241">
        <f t="shared" si="31"/>
        <v>287.05347727582472</v>
      </c>
      <c r="T51" s="241">
        <f t="shared" si="31"/>
        <v>267.25319101621392</v>
      </c>
      <c r="U51" s="241">
        <f t="shared" si="31"/>
        <v>248.72077097295261</v>
      </c>
      <c r="V51" s="241">
        <f t="shared" si="31"/>
        <v>231.35891289277515</v>
      </c>
      <c r="W51" s="241">
        <f t="shared" si="31"/>
        <v>215.07551976901055</v>
      </c>
      <c r="X51" s="241">
        <f t="shared" si="31"/>
        <v>199.78344859108492</v>
      </c>
      <c r="Y51" s="241"/>
    </row>
    <row r="52" spans="4:25" ht="12.75">
      <c r="D52" s="242" t="s">
        <v>517</v>
      </c>
      <c r="E52" s="241">
        <f>E51/E44</f>
        <v>0.6689269440910024</v>
      </c>
      <c r="F52" s="241">
        <f>F51/F44</f>
        <v>0.74401483218399334</v>
      </c>
      <c r="G52" s="241">
        <f>G51/G44</f>
        <v>0.83493043727879257</v>
      </c>
      <c r="H52" s="241">
        <f t="shared" ref="H52:J52" si="32">H51/H44</f>
        <v>0.94297916563063966</v>
      </c>
      <c r="I52" s="241">
        <f t="shared" si="32"/>
        <v>1.064969299956305</v>
      </c>
      <c r="J52" s="241">
        <f t="shared" si="32"/>
        <v>1.2026816117396055</v>
      </c>
      <c r="K52" s="241">
        <f>K51/K44</f>
        <v>1.3581164153070238</v>
      </c>
      <c r="L52" s="241">
        <f t="shared" ref="L52" si="33">L51/L44</f>
        <v>1.5335171497937845</v>
      </c>
      <c r="M52" s="241">
        <f t="shared" ref="M52:N52" si="34">M51/M44</f>
        <v>1.7313949234754118</v>
      </c>
      <c r="N52" s="241">
        <f t="shared" si="34"/>
        <v>1.9545532617628669</v>
      </c>
      <c r="O52" s="241">
        <f t="shared" ref="O52" si="35">O51/O44</f>
        <v>2.2061118433363527</v>
      </c>
      <c r="P52" s="241">
        <f t="shared" ref="P52" si="36">P51/P44</f>
        <v>2.5040404758292549</v>
      </c>
      <c r="Q52" s="241">
        <f t="shared" ref="Q52:R52" si="37">Q51/Q44</f>
        <v>2.9729804795469792</v>
      </c>
      <c r="R52" s="241">
        <f t="shared" si="37"/>
        <v>3.5290521327621254</v>
      </c>
      <c r="S52" s="241">
        <f t="shared" ref="S52" si="38">S51/S44</f>
        <v>4.1880981907607042</v>
      </c>
      <c r="T52" s="241">
        <f t="shared" ref="T52:U52" si="39">T51/T44</f>
        <v>4.9686693922014049</v>
      </c>
      <c r="U52" s="241">
        <f t="shared" si="39"/>
        <v>5.8924026225297172</v>
      </c>
      <c r="V52" s="241">
        <f t="shared" ref="V52" si="40">V51/V44</f>
        <v>6.984410422509618</v>
      </c>
      <c r="W52" s="241">
        <f t="shared" ref="W52" si="41">W51/W44</f>
        <v>8.2736597312379345</v>
      </c>
      <c r="X52" s="241">
        <f t="shared" ref="X52" si="42">X51/X44</f>
        <v>9.793306303484556</v>
      </c>
      <c r="Y52" s="241"/>
    </row>
    <row r="54" spans="4:25" ht="12.75">
      <c r="D54" s="242" t="s">
        <v>518</v>
      </c>
      <c r="E54" s="241" t="str">
        <f>IF(E52&gt;$E$20, "Y", "N")</f>
        <v>N</v>
      </c>
      <c r="F54" s="241" t="str">
        <f t="shared" ref="F54:X54" si="43">IF(F52&gt;$E$20, "Y", "N")</f>
        <v>N</v>
      </c>
      <c r="G54" s="241" t="str">
        <f t="shared" si="43"/>
        <v>N</v>
      </c>
      <c r="H54" s="241" t="str">
        <f t="shared" si="43"/>
        <v>N</v>
      </c>
      <c r="I54" s="241" t="str">
        <f t="shared" si="43"/>
        <v>N</v>
      </c>
      <c r="J54" s="241" t="str">
        <f t="shared" si="43"/>
        <v>N</v>
      </c>
      <c r="K54" s="241" t="str">
        <f t="shared" si="43"/>
        <v>N</v>
      </c>
      <c r="L54" s="241" t="str">
        <f t="shared" si="43"/>
        <v>Y</v>
      </c>
      <c r="M54" s="241" t="str">
        <f t="shared" si="43"/>
        <v>Y</v>
      </c>
      <c r="N54" s="241" t="str">
        <f t="shared" si="43"/>
        <v>Y</v>
      </c>
      <c r="O54" s="241" t="str">
        <f t="shared" si="43"/>
        <v>Y</v>
      </c>
      <c r="P54" s="241" t="str">
        <f t="shared" si="43"/>
        <v>Y</v>
      </c>
      <c r="Q54" s="241" t="str">
        <f t="shared" si="43"/>
        <v>Y</v>
      </c>
      <c r="R54" s="241" t="str">
        <f t="shared" si="43"/>
        <v>Y</v>
      </c>
      <c r="S54" s="241" t="str">
        <f t="shared" si="43"/>
        <v>Y</v>
      </c>
      <c r="T54" s="241" t="str">
        <f t="shared" si="43"/>
        <v>Y</v>
      </c>
      <c r="U54" s="241" t="str">
        <f t="shared" si="43"/>
        <v>Y</v>
      </c>
      <c r="V54" s="241" t="str">
        <f t="shared" si="43"/>
        <v>Y</v>
      </c>
      <c r="W54" s="241" t="str">
        <f t="shared" si="43"/>
        <v>Y</v>
      </c>
      <c r="X54" s="241" t="str">
        <f t="shared" si="43"/>
        <v>Y</v>
      </c>
      <c r="Y54" s="241" t="s">
        <v>519</v>
      </c>
    </row>
    <row r="55" spans="4:25" ht="12.75">
      <c r="D55" s="242" t="s">
        <v>520</v>
      </c>
      <c r="E55" s="241">
        <f>IF(E54="Y", 1, 0)</f>
        <v>0</v>
      </c>
      <c r="F55" s="241">
        <f>IF(AND(F54="Y", E54="N"),  1, 0)</f>
        <v>0</v>
      </c>
      <c r="G55" s="241">
        <f t="shared" ref="G55:X55" si="44">IF(AND(G54="Y", F54="N"),  1, 0)</f>
        <v>0</v>
      </c>
      <c r="H55" s="241">
        <f t="shared" si="44"/>
        <v>0</v>
      </c>
      <c r="I55" s="241">
        <f t="shared" si="44"/>
        <v>0</v>
      </c>
      <c r="J55" s="241">
        <f t="shared" si="44"/>
        <v>0</v>
      </c>
      <c r="K55" s="241">
        <f t="shared" si="44"/>
        <v>0</v>
      </c>
      <c r="L55" s="241">
        <f t="shared" si="44"/>
        <v>1</v>
      </c>
      <c r="M55" s="241">
        <f t="shared" si="44"/>
        <v>0</v>
      </c>
      <c r="N55" s="241">
        <f t="shared" si="44"/>
        <v>0</v>
      </c>
      <c r="O55" s="241">
        <f t="shared" si="44"/>
        <v>0</v>
      </c>
      <c r="P55" s="241">
        <f t="shared" si="44"/>
        <v>0</v>
      </c>
      <c r="Q55" s="241">
        <f t="shared" si="44"/>
        <v>0</v>
      </c>
      <c r="R55" s="241">
        <f t="shared" si="44"/>
        <v>0</v>
      </c>
      <c r="S55" s="241">
        <f t="shared" si="44"/>
        <v>0</v>
      </c>
      <c r="T55" s="241">
        <f t="shared" si="44"/>
        <v>0</v>
      </c>
      <c r="U55" s="241">
        <f t="shared" si="44"/>
        <v>0</v>
      </c>
      <c r="V55" s="241">
        <f t="shared" si="44"/>
        <v>0</v>
      </c>
      <c r="W55" s="241">
        <f t="shared" si="44"/>
        <v>0</v>
      </c>
      <c r="X55" s="241">
        <f t="shared" si="44"/>
        <v>0</v>
      </c>
      <c r="Y55" s="241"/>
    </row>
    <row r="56" spans="4:25" ht="12.75">
      <c r="D56" s="242" t="s">
        <v>521</v>
      </c>
      <c r="E56" s="241">
        <v>0</v>
      </c>
      <c r="F56" s="241">
        <f>IF(AND(F54="Y", G54="N"),  1, 0)</f>
        <v>0</v>
      </c>
      <c r="G56" s="241">
        <f t="shared" ref="G56:X56" si="45">IF(AND(G54="Y", H54="N"),  1, 0)</f>
        <v>0</v>
      </c>
      <c r="H56" s="241">
        <f t="shared" si="45"/>
        <v>0</v>
      </c>
      <c r="I56" s="241">
        <f t="shared" si="45"/>
        <v>0</v>
      </c>
      <c r="J56" s="241">
        <f t="shared" si="45"/>
        <v>0</v>
      </c>
      <c r="K56" s="241">
        <f t="shared" si="45"/>
        <v>0</v>
      </c>
      <c r="L56" s="241">
        <f t="shared" si="45"/>
        <v>0</v>
      </c>
      <c r="M56" s="241">
        <f t="shared" si="45"/>
        <v>0</v>
      </c>
      <c r="N56" s="241">
        <f t="shared" si="45"/>
        <v>0</v>
      </c>
      <c r="O56" s="241">
        <f t="shared" si="45"/>
        <v>0</v>
      </c>
      <c r="P56" s="241">
        <f t="shared" si="45"/>
        <v>0</v>
      </c>
      <c r="Q56" s="241">
        <f t="shared" si="45"/>
        <v>0</v>
      </c>
      <c r="R56" s="241">
        <f t="shared" si="45"/>
        <v>0</v>
      </c>
      <c r="S56" s="241">
        <f t="shared" si="45"/>
        <v>0</v>
      </c>
      <c r="T56" s="241">
        <f t="shared" si="45"/>
        <v>0</v>
      </c>
      <c r="U56" s="241">
        <f t="shared" si="45"/>
        <v>0</v>
      </c>
      <c r="V56" s="241">
        <f t="shared" si="45"/>
        <v>0</v>
      </c>
      <c r="W56" s="241">
        <f t="shared" si="45"/>
        <v>0</v>
      </c>
      <c r="X56" s="241">
        <f t="shared" si="45"/>
        <v>1</v>
      </c>
      <c r="Y56" s="241"/>
    </row>
    <row r="58" spans="4:25" ht="12.75">
      <c r="D58" s="241" t="s">
        <v>522</v>
      </c>
      <c r="E58" s="241">
        <f>E55*E35</f>
        <v>0</v>
      </c>
      <c r="F58" s="241">
        <f t="shared" ref="F58:X58" si="46">F55*F35</f>
        <v>0</v>
      </c>
      <c r="G58" s="241">
        <f t="shared" si="46"/>
        <v>0</v>
      </c>
      <c r="H58" s="241">
        <f t="shared" si="46"/>
        <v>0</v>
      </c>
      <c r="I58" s="241">
        <f t="shared" si="46"/>
        <v>0</v>
      </c>
      <c r="J58" s="241">
        <f t="shared" si="46"/>
        <v>0</v>
      </c>
      <c r="K58" s="241">
        <f t="shared" si="46"/>
        <v>0</v>
      </c>
      <c r="L58" s="241">
        <f t="shared" si="46"/>
        <v>2.1995768529989235</v>
      </c>
      <c r="M58" s="241">
        <f t="shared" si="46"/>
        <v>0</v>
      </c>
      <c r="N58" s="241">
        <f t="shared" si="46"/>
        <v>0</v>
      </c>
      <c r="O58" s="241">
        <f t="shared" si="46"/>
        <v>0</v>
      </c>
      <c r="P58" s="241">
        <f t="shared" si="46"/>
        <v>0</v>
      </c>
      <c r="Q58" s="241">
        <f t="shared" si="46"/>
        <v>0</v>
      </c>
      <c r="R58" s="241">
        <f t="shared" si="46"/>
        <v>0</v>
      </c>
      <c r="S58" s="241">
        <f t="shared" si="46"/>
        <v>0</v>
      </c>
      <c r="T58" s="241">
        <f t="shared" si="46"/>
        <v>0</v>
      </c>
      <c r="U58" s="241">
        <f t="shared" si="46"/>
        <v>0</v>
      </c>
      <c r="V58" s="241">
        <f t="shared" si="46"/>
        <v>0</v>
      </c>
      <c r="W58" s="241">
        <f t="shared" si="46"/>
        <v>0</v>
      </c>
      <c r="X58" s="241">
        <f t="shared" si="46"/>
        <v>0</v>
      </c>
      <c r="Y58" s="241"/>
    </row>
    <row r="59" spans="4:25" ht="12.75">
      <c r="D59" s="241" t="s">
        <v>523</v>
      </c>
      <c r="E59" s="241">
        <f>E35*E56</f>
        <v>0</v>
      </c>
      <c r="F59" s="241">
        <f t="shared" ref="F59:X59" si="47">F35*F56</f>
        <v>0</v>
      </c>
      <c r="G59" s="241">
        <f t="shared" si="47"/>
        <v>0</v>
      </c>
      <c r="H59" s="241">
        <f t="shared" si="47"/>
        <v>0</v>
      </c>
      <c r="I59" s="241">
        <f t="shared" si="47"/>
        <v>0</v>
      </c>
      <c r="J59" s="241">
        <f t="shared" si="47"/>
        <v>0</v>
      </c>
      <c r="K59" s="241">
        <f t="shared" si="47"/>
        <v>0</v>
      </c>
      <c r="L59" s="241">
        <f t="shared" si="47"/>
        <v>0</v>
      </c>
      <c r="M59" s="241">
        <f t="shared" si="47"/>
        <v>0</v>
      </c>
      <c r="N59" s="241">
        <f t="shared" si="47"/>
        <v>0</v>
      </c>
      <c r="O59" s="241">
        <f t="shared" si="47"/>
        <v>0</v>
      </c>
      <c r="P59" s="241">
        <f t="shared" si="47"/>
        <v>0</v>
      </c>
      <c r="Q59" s="241">
        <f t="shared" si="47"/>
        <v>0</v>
      </c>
      <c r="R59" s="241">
        <f t="shared" si="47"/>
        <v>0</v>
      </c>
      <c r="S59" s="241">
        <f t="shared" si="47"/>
        <v>0</v>
      </c>
      <c r="T59" s="241">
        <f t="shared" si="47"/>
        <v>0</v>
      </c>
      <c r="U59" s="241">
        <f t="shared" si="47"/>
        <v>0</v>
      </c>
      <c r="V59" s="241">
        <f t="shared" si="47"/>
        <v>0</v>
      </c>
      <c r="W59" s="241">
        <f t="shared" si="47"/>
        <v>0</v>
      </c>
      <c r="X59" s="241">
        <f t="shared" si="47"/>
        <v>0.12</v>
      </c>
      <c r="Y59" s="241"/>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ABF7D0-BF3C-434F-A857-BC6AE8086814}"/>
</file>

<file path=customXml/itemProps2.xml><?xml version="1.0" encoding="utf-8"?>
<ds:datastoreItem xmlns:ds="http://schemas.openxmlformats.org/officeDocument/2006/customXml" ds:itemID="{96E2E466-1778-444A-875B-984896DCECC2}"/>
</file>

<file path=customXml/itemProps3.xml><?xml version="1.0" encoding="utf-8"?>
<ds:datastoreItem xmlns:ds="http://schemas.openxmlformats.org/officeDocument/2006/customXml" ds:itemID="{C7BC8CF0-B24A-4CAA-85F9-D802C37E37E1}"/>
</file>

<file path=docProps/app.xml><?xml version="1.0" encoding="utf-8"?>
<Properties xmlns="http://schemas.openxmlformats.org/officeDocument/2006/extended-properties" xmlns:vt="http://schemas.openxmlformats.org/officeDocument/2006/docPropsVTypes">
  <Application>Microsoft Excel Online</Application>
  <Manager/>
  <Company>NSC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subject/>
  <dc:creator>a-rogachev@ti.com</dc:creator>
  <cp:keywords/>
  <dc:description/>
  <cp:lastModifiedBy/>
  <cp:revision/>
  <dcterms:created xsi:type="dcterms:W3CDTF">2009-04-21T16:00:33Z</dcterms:created>
  <dcterms:modified xsi:type="dcterms:W3CDTF">2020-09-10T13:09:22Z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