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Q:\docs\data_sheets\hot_swap\"/>
    </mc:Choice>
  </mc:AlternateContent>
  <xr:revisionPtr revIDLastSave="0" documentId="8_{FB7EBFFB-263B-4715-9319-136075A9E2E4}" xr6:coauthVersionLast="41" xr6:coauthVersionMax="41" xr10:uidLastSave="{00000000-0000-0000-0000-000000000000}"/>
  <workbookProtection workbookPassword="E288" lockStructure="1"/>
  <bookViews>
    <workbookView xWindow="-120" yWindow="-120" windowWidth="29040" windowHeight="15840" tabRatio="652" activeTab="1" xr2:uid="{00000000-000D-0000-FFFF-FFFF00000000}"/>
  </bookViews>
  <sheets>
    <sheet name="Instructions_Disclaimer" sheetId="16" r:id="rId1"/>
    <sheet name="Design Calculator" sheetId="1" r:id="rId2"/>
    <sheet name="Device Parame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Equations!$F$15</definedName>
    <definedName name="CLMAX_Threshold">Equations!$E$6</definedName>
    <definedName name="CLMIN">Equations!$F$13</definedName>
    <definedName name="CLMIN_Threshold">Equations!$E$4</definedName>
    <definedName name="CLNOM">Equations!$F$14</definedName>
    <definedName name="CLNOM_Threshold">Equations!$E$5</definedName>
    <definedName name="COUTMAX">'Design Calculator'!$F$18</definedName>
    <definedName name="CTIMER">'Design Calculator'!#REF!</definedName>
    <definedName name="FETPDISS">'Design Calculator'!$F$45</definedName>
    <definedName name="I_Cout_ss">Equations!$F$56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Calculator'!$F$17</definedName>
    <definedName name="MaxFETPW">'Design Calculator'!#REF!</definedName>
    <definedName name="NUMFETS">'Design Calculator'!$F$37</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Calculator'!$A$1:$M$190</definedName>
    <definedName name="RDIV1">'Design Calculator'!$F$26</definedName>
    <definedName name="RDIV2">'Design Calculator'!$F$27</definedName>
    <definedName name="RDSON">'Design Calculator'!$AN$38</definedName>
    <definedName name="RPWR">'Design Calculator'!$F$50</definedName>
    <definedName name="Rrflt" localSheetId="5">[1]ILIM_SOA_considerations!$C$46</definedName>
    <definedName name="Rrflt">[2]ILIM_SOA_considerations!$C$46</definedName>
    <definedName name="Rs">'Design Calculator'!$F$23</definedName>
    <definedName name="RsEFF">Equations!$F$12</definedName>
    <definedName name="Rsense" localSheetId="5">[1]ILIM_SOA_considerations!$C$30</definedName>
    <definedName name="Rsense">[2]ILIM_SOA_considerations!$C$30</definedName>
    <definedName name="RsMAX">'Design Calculator'!$F$21</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Equations!$F$52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Calculator'!$F$19</definedName>
    <definedName name="Tfault">'Design Calculator'!$F$61</definedName>
    <definedName name="Tfaultmax">'Design Calculator'!#REF!</definedName>
    <definedName name="ThetaJA">'Design Calculator'!$F$36</definedName>
    <definedName name="TINSERT">'Design Calculator'!$F$76</definedName>
    <definedName name="TINSERTMAX">Equations!$F$99</definedName>
    <definedName name="TINSERTMIN">Equations!$F$97</definedName>
    <definedName name="TJ">'Design Calculator'!$F$46</definedName>
    <definedName name="TJMAX">'Design Calculator'!$AN$39</definedName>
    <definedName name="Tsd" localSheetId="5">[1]ILIM_SOA_considerations!$C$67</definedName>
    <definedName name="Tsd">[2]ILIM_SOA_considerations!$C$67</definedName>
    <definedName name="TSTARTMAX">Equations!$F$86</definedName>
    <definedName name="TSTARTMIN">Equations!$F$84</definedName>
    <definedName name="TSTARTNOM">Equations!$F$85</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Calculator'!$F$16</definedName>
    <definedName name="VINMIN">'Design Calculator'!$F$14</definedName>
    <definedName name="VINNOM">'Design Calculator'!$F$15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0" i="1" l="1"/>
  <c r="F111" i="1"/>
  <c r="F126" i="1"/>
  <c r="F125" i="1"/>
  <c r="F124" i="1"/>
  <c r="F129" i="1" l="1"/>
  <c r="AN39" i="1"/>
  <c r="AN40" i="1"/>
  <c r="AN41" i="1"/>
  <c r="AN42" i="1"/>
  <c r="AN43" i="1"/>
  <c r="AN44" i="1"/>
  <c r="AN38" i="1"/>
  <c r="F45" i="1" s="1"/>
  <c r="B4" i="7" l="1"/>
  <c r="G133" i="3"/>
  <c r="F133" i="3"/>
  <c r="F132" i="3"/>
  <c r="C9" i="7"/>
  <c r="H9" i="7"/>
  <c r="H24" i="7"/>
  <c r="F113" i="1" l="1"/>
  <c r="E21" i="14"/>
  <c r="F119" i="1" l="1"/>
  <c r="F118" i="1"/>
  <c r="F131" i="1"/>
  <c r="F128" i="1"/>
  <c r="F103" i="1" l="1"/>
  <c r="F104" i="1" s="1"/>
  <c r="F30" i="3" l="1"/>
  <c r="H100" i="3"/>
  <c r="G130" i="3" l="1"/>
  <c r="F129" i="3"/>
  <c r="G134" i="3"/>
  <c r="G131" i="3"/>
  <c r="G129" i="3"/>
  <c r="G121" i="3"/>
  <c r="G122" i="3" s="1"/>
  <c r="F86" i="1" s="1"/>
  <c r="F130" i="3"/>
  <c r="G132" i="3"/>
  <c r="F134" i="3"/>
  <c r="F131" i="3"/>
  <c r="G128" i="3"/>
  <c r="G125" i="3"/>
  <c r="G124" i="3"/>
  <c r="G123" i="3"/>
  <c r="F128" i="3"/>
  <c r="F94" i="1" s="1"/>
  <c r="F127" i="3"/>
  <c r="G127" i="3"/>
  <c r="G126" i="3"/>
  <c r="F126" i="3"/>
  <c r="F125" i="3"/>
  <c r="F93" i="1" s="1"/>
  <c r="F123" i="3"/>
  <c r="F124" i="3"/>
  <c r="E37" i="14"/>
  <c r="E32" i="14"/>
  <c r="F35" i="14" s="1"/>
  <c r="E29" i="14"/>
  <c r="E35" i="14" s="1"/>
  <c r="E36" i="14" s="1"/>
  <c r="E27" i="14"/>
  <c r="E26" i="14"/>
  <c r="H41" i="14" s="1"/>
  <c r="E25" i="14"/>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Y22" i="13"/>
  <c r="Y15" i="13"/>
  <c r="Y18" i="13" s="1"/>
  <c r="R2" i="13"/>
  <c r="Q2" i="13"/>
  <c r="J2" i="13"/>
  <c r="H2" i="13"/>
  <c r="G2" i="13"/>
  <c r="F2" i="13"/>
  <c r="O207" i="3"/>
  <c r="J102" i="3"/>
  <c r="J101" i="3"/>
  <c r="J100" i="3"/>
  <c r="I102" i="3"/>
  <c r="I101" i="3"/>
  <c r="I100" i="3"/>
  <c r="H102" i="3"/>
  <c r="H101" i="3"/>
  <c r="G119" i="3"/>
  <c r="G120" i="3" s="1"/>
  <c r="F168" i="3"/>
  <c r="F167" i="3"/>
  <c r="F166" i="3"/>
  <c r="F143" i="3"/>
  <c r="F142" i="3"/>
  <c r="F119" i="3"/>
  <c r="F108" i="3"/>
  <c r="F107" i="3"/>
  <c r="K125" i="1" s="1"/>
  <c r="F106" i="3"/>
  <c r="F105" i="3"/>
  <c r="F104" i="3"/>
  <c r="K124" i="1" s="1"/>
  <c r="F103" i="3"/>
  <c r="F68" i="3"/>
  <c r="F69" i="3" s="1"/>
  <c r="F74" i="1" s="1"/>
  <c r="F66" i="3"/>
  <c r="F67" i="3" s="1"/>
  <c r="F72" i="1" s="1"/>
  <c r="F54" i="3"/>
  <c r="F52" i="3"/>
  <c r="F53" i="3" s="1"/>
  <c r="F67" i="1" s="1"/>
  <c r="F48" i="3"/>
  <c r="F49" i="3" s="1"/>
  <c r="F61" i="1" s="1"/>
  <c r="C8" i="7" s="1"/>
  <c r="C10" i="7" s="1"/>
  <c r="F45" i="3"/>
  <c r="F32" i="3"/>
  <c r="F27" i="3"/>
  <c r="F26" i="3"/>
  <c r="F25" i="3"/>
  <c r="F24" i="3"/>
  <c r="E270" i="3"/>
  <c r="E268" i="3"/>
  <c r="E6" i="3"/>
  <c r="E5" i="3"/>
  <c r="F19" i="3" s="1"/>
  <c r="E4" i="3"/>
  <c r="L18" i="6"/>
  <c r="L17" i="6"/>
  <c r="E14" i="6"/>
  <c r="N17" i="6" s="1"/>
  <c r="D26" i="6"/>
  <c r="D4" i="7"/>
  <c r="C4" i="7"/>
  <c r="AN26" i="1"/>
  <c r="G54" i="1"/>
  <c r="F120" i="1"/>
  <c r="F117" i="1"/>
  <c r="F116" i="1"/>
  <c r="F115" i="1"/>
  <c r="F114" i="1"/>
  <c r="F112" i="1"/>
  <c r="F109" i="1"/>
  <c r="F4" i="7"/>
  <c r="D2" i="13"/>
  <c r="M17" i="6" l="1"/>
  <c r="N18" i="6"/>
  <c r="M18" i="6"/>
  <c r="Y24" i="13"/>
  <c r="C11" i="7"/>
  <c r="C12" i="7"/>
  <c r="C13" i="7" s="1"/>
  <c r="E4" i="7"/>
  <c r="F34" i="7" s="1"/>
  <c r="F33" i="7" s="1"/>
  <c r="D34" i="7"/>
  <c r="D33" i="7" s="1"/>
  <c r="C14" i="7"/>
  <c r="C34" i="7"/>
  <c r="C33" i="7" s="1"/>
  <c r="F46" i="1"/>
  <c r="S244" i="3"/>
  <c r="T245" i="3"/>
  <c r="U246" i="3"/>
  <c r="S248" i="3"/>
  <c r="T249" i="3"/>
  <c r="U250" i="3"/>
  <c r="S252" i="3"/>
  <c r="T253" i="3"/>
  <c r="U254" i="3"/>
  <c r="S256" i="3"/>
  <c r="T257" i="3"/>
  <c r="U258" i="3"/>
  <c r="S260" i="3"/>
  <c r="T261" i="3"/>
  <c r="U262" i="3"/>
  <c r="U253" i="3"/>
  <c r="T256" i="3"/>
  <c r="S259" i="3"/>
  <c r="T260" i="3"/>
  <c r="S263" i="3"/>
  <c r="U244" i="3"/>
  <c r="S246" i="3"/>
  <c r="U248" i="3"/>
  <c r="S250" i="3"/>
  <c r="U252" i="3"/>
  <c r="S254" i="3"/>
  <c r="U256" i="3"/>
  <c r="T259" i="3"/>
  <c r="U260" i="3"/>
  <c r="T263" i="3"/>
  <c r="S245" i="3"/>
  <c r="U247" i="3"/>
  <c r="S249" i="3"/>
  <c r="U251" i="3"/>
  <c r="S253" i="3"/>
  <c r="U255" i="3"/>
  <c r="S257" i="3"/>
  <c r="U259" i="3"/>
  <c r="S261" i="3"/>
  <c r="U263" i="3"/>
  <c r="T244" i="3"/>
  <c r="U245" i="3"/>
  <c r="S247" i="3"/>
  <c r="T248" i="3"/>
  <c r="U249" i="3"/>
  <c r="S251" i="3"/>
  <c r="T252" i="3"/>
  <c r="S255" i="3"/>
  <c r="U257" i="3"/>
  <c r="U261" i="3"/>
  <c r="T247" i="3"/>
  <c r="T251" i="3"/>
  <c r="T255" i="3"/>
  <c r="S258" i="3"/>
  <c r="S262" i="3"/>
  <c r="T246" i="3"/>
  <c r="T250" i="3"/>
  <c r="T254" i="3"/>
  <c r="T258" i="3"/>
  <c r="T262" i="3"/>
  <c r="F83" i="1"/>
  <c r="K118" i="1"/>
  <c r="F108" i="1"/>
  <c r="F144" i="3"/>
  <c r="H42" i="14"/>
  <c r="C113" i="13"/>
  <c r="C87" i="13"/>
  <c r="C114" i="13"/>
  <c r="F107" i="1"/>
  <c r="G41" i="14"/>
  <c r="G42" i="14" s="1"/>
  <c r="C111" i="13"/>
  <c r="C112" i="13"/>
  <c r="F41" i="14"/>
  <c r="F42" i="14" s="1"/>
  <c r="C10" i="13"/>
  <c r="C22" i="13"/>
  <c r="C34" i="13"/>
  <c r="C50" i="13"/>
  <c r="C78" i="13"/>
  <c r="C82" i="13"/>
  <c r="C86" i="13"/>
  <c r="C98" i="13"/>
  <c r="I41" i="14"/>
  <c r="I42" i="14" s="1"/>
  <c r="C80" i="13"/>
  <c r="F121" i="3"/>
  <c r="F120" i="3" s="1"/>
  <c r="F84" i="1" s="1"/>
  <c r="F98" i="3"/>
  <c r="F76" i="1" s="1"/>
  <c r="K117" i="1" s="1"/>
  <c r="F55" i="3"/>
  <c r="F57" i="3" s="1"/>
  <c r="F99" i="3"/>
  <c r="F102" i="3"/>
  <c r="E94" i="1"/>
  <c r="K121" i="1" s="1"/>
  <c r="E93" i="1"/>
  <c r="K120" i="1" s="1"/>
  <c r="D96" i="1"/>
  <c r="E96" i="1"/>
  <c r="K123" i="1" s="1"/>
  <c r="F96" i="1"/>
  <c r="D94" i="1"/>
  <c r="E95" i="1"/>
  <c r="K122" i="1" s="1"/>
  <c r="F95" i="1"/>
  <c r="D95" i="1"/>
  <c r="D93" i="1"/>
  <c r="F100" i="3"/>
  <c r="Q17" i="6"/>
  <c r="F9" i="3"/>
  <c r="F21" i="1" s="1"/>
  <c r="AO36" i="1"/>
  <c r="F97" i="3"/>
  <c r="F101" i="3"/>
  <c r="F77" i="1" s="1"/>
  <c r="K119" i="1" s="1"/>
  <c r="C110" i="13"/>
  <c r="C95" i="13"/>
  <c r="C79" i="13"/>
  <c r="C63" i="13"/>
  <c r="C47" i="13"/>
  <c r="C31" i="13"/>
  <c r="C107" i="13"/>
  <c r="C99" i="13"/>
  <c r="C71" i="13"/>
  <c r="C43" i="13"/>
  <c r="C35" i="13"/>
  <c r="C11" i="13"/>
  <c r="C91" i="13"/>
  <c r="C83" i="13"/>
  <c r="C55" i="13"/>
  <c r="C27" i="13"/>
  <c r="C15" i="13"/>
  <c r="C103" i="13"/>
  <c r="C96" i="13"/>
  <c r="C88" i="13"/>
  <c r="C75" i="13"/>
  <c r="C67" i="13"/>
  <c r="C60" i="13"/>
  <c r="C39" i="13"/>
  <c r="C32" i="13"/>
  <c r="C24" i="13"/>
  <c r="C19" i="13"/>
  <c r="C94" i="13"/>
  <c r="C66" i="13"/>
  <c r="C38" i="13"/>
  <c r="C12" i="13"/>
  <c r="C102" i="13"/>
  <c r="C59" i="13"/>
  <c r="C23" i="13"/>
  <c r="C108" i="13"/>
  <c r="C72" i="13"/>
  <c r="C30" i="13"/>
  <c r="C51" i="13"/>
  <c r="C44" i="13"/>
  <c r="C18"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6" i="13"/>
  <c r="C20" i="13"/>
  <c r="C28" i="13"/>
  <c r="C40" i="13"/>
  <c r="C48" i="13"/>
  <c r="C56" i="13"/>
  <c r="C64" i="13"/>
  <c r="C76" i="13"/>
  <c r="C92" i="13"/>
  <c r="C104" i="13"/>
  <c r="E39" i="14"/>
  <c r="E40" i="14"/>
  <c r="F36" i="14"/>
  <c r="F37" i="14"/>
  <c r="G35" i="14"/>
  <c r="C26" i="13"/>
  <c r="C42" i="13"/>
  <c r="C58" i="13"/>
  <c r="C74" i="13"/>
  <c r="C90" i="13"/>
  <c r="C106" i="13"/>
  <c r="C14" i="13"/>
  <c r="C46" i="13"/>
  <c r="C54" i="13"/>
  <c r="C62" i="13"/>
  <c r="C70" i="13"/>
  <c r="E59" i="14"/>
  <c r="C36" i="13"/>
  <c r="C52" i="13"/>
  <c r="C68" i="13"/>
  <c r="C84" i="13"/>
  <c r="C100" i="13"/>
  <c r="E41" i="14"/>
  <c r="E42" i="14" s="1"/>
  <c r="X41" i="14"/>
  <c r="X42" i="14" s="1"/>
  <c r="W41" i="14"/>
  <c r="W42" i="14" s="1"/>
  <c r="V41" i="14"/>
  <c r="V42" i="14" s="1"/>
  <c r="U41" i="14"/>
  <c r="U42" i="14" s="1"/>
  <c r="T41" i="14"/>
  <c r="T42" i="14" s="1"/>
  <c r="S41" i="14"/>
  <c r="S42" i="14" s="1"/>
  <c r="R41" i="14"/>
  <c r="R42" i="14" s="1"/>
  <c r="Q41" i="14"/>
  <c r="Q42" i="14" s="1"/>
  <c r="P41" i="14"/>
  <c r="P42" i="14" s="1"/>
  <c r="O41" i="14"/>
  <c r="O42" i="14" s="1"/>
  <c r="N41" i="14"/>
  <c r="N42" i="14" s="1"/>
  <c r="M41" i="14"/>
  <c r="M42" i="14" s="1"/>
  <c r="K41" i="14"/>
  <c r="K42" i="14" s="1"/>
  <c r="J41" i="14"/>
  <c r="J42" i="14" s="1"/>
  <c r="L41" i="14"/>
  <c r="L42" i="14" s="1"/>
  <c r="H27" i="3" l="1"/>
  <c r="H25" i="7"/>
  <c r="C15" i="7"/>
  <c r="C19" i="7" s="1"/>
  <c r="C18" i="7" s="1"/>
  <c r="C20" i="7" s="1"/>
  <c r="C22" i="7" s="1"/>
  <c r="E34" i="7"/>
  <c r="E33" i="7" s="1"/>
  <c r="J25" i="14"/>
  <c r="C25" i="7"/>
  <c r="H26" i="3"/>
  <c r="H24" i="3"/>
  <c r="H25" i="3"/>
  <c r="E23" i="14"/>
  <c r="K25" i="14"/>
  <c r="J24" i="14"/>
  <c r="F69" i="1"/>
  <c r="F56" i="3"/>
  <c r="P97" i="13" s="1"/>
  <c r="K24" i="14"/>
  <c r="F85" i="1"/>
  <c r="F40" i="14"/>
  <c r="F39" i="14"/>
  <c r="E44" i="14"/>
  <c r="G36" i="14"/>
  <c r="H35" i="14"/>
  <c r="G37" i="14"/>
  <c r="F12" i="3"/>
  <c r="F20" i="3" s="1"/>
  <c r="K115" i="1" s="1"/>
  <c r="F10" i="3"/>
  <c r="F24" i="1" s="1"/>
  <c r="E19" i="14" l="1"/>
  <c r="H27" i="7"/>
  <c r="C26" i="7"/>
  <c r="L24" i="14"/>
  <c r="L25" i="14"/>
  <c r="F29" i="3"/>
  <c r="F47" i="1" s="1"/>
  <c r="F33" i="3"/>
  <c r="P90" i="13"/>
  <c r="P89" i="13"/>
  <c r="Q55" i="13"/>
  <c r="F54" i="13"/>
  <c r="Q34" i="13"/>
  <c r="P18" i="13"/>
  <c r="P102" i="13"/>
  <c r="Q23" i="13"/>
  <c r="F74" i="13"/>
  <c r="Q61" i="13"/>
  <c r="P87" i="13"/>
  <c r="Q88" i="13"/>
  <c r="P83" i="13"/>
  <c r="P80" i="13"/>
  <c r="Q16" i="13"/>
  <c r="F80" i="13"/>
  <c r="Q12" i="13"/>
  <c r="Q89" i="13"/>
  <c r="Q78" i="13"/>
  <c r="P49" i="13"/>
  <c r="P111" i="13"/>
  <c r="P100" i="13"/>
  <c r="F85" i="13"/>
  <c r="F64" i="13"/>
  <c r="F34" i="13"/>
  <c r="Q26" i="13"/>
  <c r="F59" i="13"/>
  <c r="Q85" i="13"/>
  <c r="F48" i="13"/>
  <c r="F21" i="13"/>
  <c r="F25" i="13"/>
  <c r="F77" i="13"/>
  <c r="P45" i="13"/>
  <c r="F91" i="13"/>
  <c r="Q43" i="13"/>
  <c r="P61" i="13"/>
  <c r="P76" i="13"/>
  <c r="Q110" i="13"/>
  <c r="P23" i="13"/>
  <c r="Q84" i="13"/>
  <c r="P77" i="13"/>
  <c r="P36" i="13"/>
  <c r="F33" i="13"/>
  <c r="F29" i="13"/>
  <c r="F46" i="13"/>
  <c r="F13" i="13"/>
  <c r="F52" i="13"/>
  <c r="F18" i="13"/>
  <c r="F98" i="13"/>
  <c r="P39" i="13"/>
  <c r="P82" i="13"/>
  <c r="F43" i="13"/>
  <c r="F107" i="13"/>
  <c r="Q74" i="13"/>
  <c r="Q83" i="13"/>
  <c r="Q41" i="13"/>
  <c r="Q99" i="13"/>
  <c r="P16" i="13"/>
  <c r="Q67" i="13"/>
  <c r="F41" i="13"/>
  <c r="F23" i="13"/>
  <c r="P106" i="13"/>
  <c r="F102" i="13"/>
  <c r="P67" i="13"/>
  <c r="F108" i="13"/>
  <c r="F56" i="13"/>
  <c r="P94" i="13"/>
  <c r="Q109" i="13"/>
  <c r="Q49" i="13"/>
  <c r="F75" i="13"/>
  <c r="Q48" i="13"/>
  <c r="Q114" i="13"/>
  <c r="Q32" i="13"/>
  <c r="Q92" i="13"/>
  <c r="Q15" i="13"/>
  <c r="Q71" i="13"/>
  <c r="P47" i="13"/>
  <c r="P12" i="13"/>
  <c r="Q95" i="13"/>
  <c r="Q97" i="13"/>
  <c r="P92" i="13"/>
  <c r="P54" i="13"/>
  <c r="Q87" i="13"/>
  <c r="P105" i="13"/>
  <c r="P64" i="13"/>
  <c r="Q11" i="13"/>
  <c r="Q103" i="13"/>
  <c r="P79" i="13"/>
  <c r="P20" i="13"/>
  <c r="Q100" i="13"/>
  <c r="F76" i="13"/>
  <c r="F17" i="13"/>
  <c r="F84" i="13"/>
  <c r="F100" i="13"/>
  <c r="F27" i="13"/>
  <c r="F81" i="13"/>
  <c r="Q13" i="13"/>
  <c r="F78" i="13"/>
  <c r="F31" i="13"/>
  <c r="F86" i="13"/>
  <c r="Q72" i="13"/>
  <c r="F40" i="13"/>
  <c r="F82" i="13"/>
  <c r="P37" i="13"/>
  <c r="Q80" i="13"/>
  <c r="Q44" i="13"/>
  <c r="P53" i="13"/>
  <c r="Q21" i="13"/>
  <c r="Q104" i="13"/>
  <c r="F63" i="13"/>
  <c r="F95" i="13"/>
  <c r="P109" i="13"/>
  <c r="P26" i="13"/>
  <c r="Q38" i="13"/>
  <c r="Q102" i="13"/>
  <c r="Q39" i="13"/>
  <c r="P104" i="13"/>
  <c r="Q51" i="13"/>
  <c r="P65" i="13"/>
  <c r="Q37" i="13"/>
  <c r="P28" i="13"/>
  <c r="P43" i="13"/>
  <c r="P41" i="13"/>
  <c r="Q36" i="13"/>
  <c r="P55" i="13"/>
  <c r="P69" i="13"/>
  <c r="P84" i="13"/>
  <c r="F97" i="13"/>
  <c r="F62" i="13"/>
  <c r="F105" i="13"/>
  <c r="F42" i="13"/>
  <c r="Q33" i="13"/>
  <c r="F53" i="13"/>
  <c r="F110" i="13"/>
  <c r="F24" i="13"/>
  <c r="Q70" i="13"/>
  <c r="F58" i="13"/>
  <c r="P10" i="13"/>
  <c r="F22" i="13"/>
  <c r="F61" i="13"/>
  <c r="F104" i="13"/>
  <c r="P114" i="13"/>
  <c r="P58" i="13"/>
  <c r="P15" i="13"/>
  <c r="P93" i="13"/>
  <c r="Q58" i="13"/>
  <c r="F47" i="13"/>
  <c r="F79" i="13"/>
  <c r="F111" i="13"/>
  <c r="Q56" i="13"/>
  <c r="P98" i="13"/>
  <c r="Q90" i="13"/>
  <c r="Q94" i="13"/>
  <c r="Q27" i="13"/>
  <c r="P88" i="13"/>
  <c r="Q96" i="13"/>
  <c r="F90" i="13"/>
  <c r="F69" i="13"/>
  <c r="F112" i="13"/>
  <c r="F113" i="13"/>
  <c r="F11" i="13"/>
  <c r="P11" i="13"/>
  <c r="Q46" i="13"/>
  <c r="P27" i="13"/>
  <c r="Q75" i="13"/>
  <c r="P13" i="13"/>
  <c r="P81" i="13"/>
  <c r="Q113" i="13"/>
  <c r="P60" i="13"/>
  <c r="Q20" i="13"/>
  <c r="Q30" i="13"/>
  <c r="Q31" i="13"/>
  <c r="P75" i="13"/>
  <c r="P33" i="13"/>
  <c r="Q81" i="13"/>
  <c r="Q65" i="13"/>
  <c r="P48" i="13"/>
  <c r="P112" i="13"/>
  <c r="Q62" i="13"/>
  <c r="Q47" i="13"/>
  <c r="Q91" i="13"/>
  <c r="Q25" i="13"/>
  <c r="P31" i="13"/>
  <c r="P68" i="13"/>
  <c r="Q52" i="13"/>
  <c r="P66" i="13"/>
  <c r="F12" i="13"/>
  <c r="P29" i="13"/>
  <c r="Q54" i="13"/>
  <c r="F28" i="13"/>
  <c r="F19" i="13"/>
  <c r="F70" i="13"/>
  <c r="P30" i="13"/>
  <c r="F16" i="13"/>
  <c r="F38" i="13"/>
  <c r="F68" i="13"/>
  <c r="F96" i="13"/>
  <c r="P50" i="13"/>
  <c r="Q93" i="13"/>
  <c r="F49" i="13"/>
  <c r="F106" i="13"/>
  <c r="F20" i="13"/>
  <c r="F44" i="13"/>
  <c r="F73" i="13"/>
  <c r="F101" i="13"/>
  <c r="P85" i="13"/>
  <c r="F14" i="13"/>
  <c r="F30" i="13"/>
  <c r="F50" i="13"/>
  <c r="F72" i="13"/>
  <c r="F93" i="13"/>
  <c r="F114" i="13"/>
  <c r="P74" i="13"/>
  <c r="Q42" i="13"/>
  <c r="P21" i="13"/>
  <c r="P95" i="13"/>
  <c r="Q82" i="13"/>
  <c r="P35" i="13"/>
  <c r="P73" i="13"/>
  <c r="P110" i="13"/>
  <c r="Q40" i="13"/>
  <c r="Q77" i="13"/>
  <c r="F39" i="13"/>
  <c r="F55" i="13"/>
  <c r="F71" i="13"/>
  <c r="F87" i="13"/>
  <c r="F103" i="13"/>
  <c r="P42" i="13"/>
  <c r="Q28" i="13"/>
  <c r="Q98" i="13"/>
  <c r="P62" i="13"/>
  <c r="Q24" i="13"/>
  <c r="Q66" i="13"/>
  <c r="Q86" i="13"/>
  <c r="Q68" i="13"/>
  <c r="Q107" i="13"/>
  <c r="P24" i="13"/>
  <c r="Q14" i="13"/>
  <c r="Q19" i="13"/>
  <c r="P59" i="13"/>
  <c r="P107" i="13"/>
  <c r="Q73" i="13"/>
  <c r="Q105" i="13"/>
  <c r="P44" i="13"/>
  <c r="P108" i="13"/>
  <c r="P19" i="13"/>
  <c r="Q63" i="13"/>
  <c r="Q111" i="13"/>
  <c r="Q57" i="13"/>
  <c r="P71" i="13"/>
  <c r="P32" i="13"/>
  <c r="P96" i="13"/>
  <c r="P38" i="13"/>
  <c r="Q35" i="13"/>
  <c r="Q79" i="13"/>
  <c r="P17" i="13"/>
  <c r="Q101" i="13"/>
  <c r="P52" i="13"/>
  <c r="P22" i="13"/>
  <c r="P103" i="13"/>
  <c r="F57" i="13"/>
  <c r="F32" i="13"/>
  <c r="F60" i="13"/>
  <c r="F89" i="13"/>
  <c r="Q50" i="13"/>
  <c r="F36" i="13"/>
  <c r="F92" i="13"/>
  <c r="F15" i="13"/>
  <c r="F37" i="13"/>
  <c r="F65" i="13"/>
  <c r="F94" i="13"/>
  <c r="P46" i="13"/>
  <c r="F10" i="13"/>
  <c r="F26" i="13"/>
  <c r="F45" i="13"/>
  <c r="F66" i="13"/>
  <c r="F88" i="13"/>
  <c r="F109" i="13"/>
  <c r="P57" i="13"/>
  <c r="Q22" i="13"/>
  <c r="Q106" i="13"/>
  <c r="P78" i="13"/>
  <c r="Q64" i="13"/>
  <c r="P25" i="13"/>
  <c r="P63" i="13"/>
  <c r="P101" i="13"/>
  <c r="Q29" i="13"/>
  <c r="Q69" i="13"/>
  <c r="F35" i="13"/>
  <c r="F51" i="13"/>
  <c r="F67" i="13"/>
  <c r="F83" i="13"/>
  <c r="F99" i="13"/>
  <c r="P14" i="13"/>
  <c r="Q18" i="13"/>
  <c r="Q76" i="13"/>
  <c r="P34" i="13"/>
  <c r="Q10" i="13"/>
  <c r="Q60" i="13"/>
  <c r="Q112" i="13"/>
  <c r="Q108" i="13"/>
  <c r="P72" i="13"/>
  <c r="Q53" i="13"/>
  <c r="P70" i="13"/>
  <c r="P91" i="13"/>
  <c r="P51" i="13"/>
  <c r="P56" i="13"/>
  <c r="P99" i="13"/>
  <c r="P86" i="13"/>
  <c r="Q59" i="13"/>
  <c r="Q17" i="13"/>
  <c r="Q45" i="13"/>
  <c r="P113" i="13"/>
  <c r="P40" i="13"/>
  <c r="F11" i="3"/>
  <c r="F25" i="1" s="1"/>
  <c r="G40" i="14"/>
  <c r="G39" i="14"/>
  <c r="O202" i="3"/>
  <c r="I35" i="14"/>
  <c r="H36" i="14"/>
  <c r="H37" i="14"/>
  <c r="I2" i="13"/>
  <c r="F15" i="3"/>
  <c r="E269" i="3"/>
  <c r="F28" i="1"/>
  <c r="F14" i="3"/>
  <c r="F31" i="3"/>
  <c r="F49" i="1" s="1"/>
  <c r="F13" i="3"/>
  <c r="F44" i="14"/>
  <c r="M24" i="14" l="1"/>
  <c r="M25" i="14"/>
  <c r="O205" i="3"/>
  <c r="O203" i="3"/>
  <c r="O204" i="3"/>
  <c r="O206" i="3"/>
  <c r="Q6" i="13"/>
  <c r="Q5" i="13"/>
  <c r="O192" i="3"/>
  <c r="O197" i="3"/>
  <c r="O188" i="3"/>
  <c r="F70" i="3"/>
  <c r="F71" i="3" s="1"/>
  <c r="F75" i="1" s="1"/>
  <c r="X184" i="3"/>
  <c r="F171" i="3"/>
  <c r="F30" i="1"/>
  <c r="H40" i="14"/>
  <c r="H39" i="14"/>
  <c r="F172" i="3"/>
  <c r="F16" i="3"/>
  <c r="F32" i="1" s="1"/>
  <c r="F31" i="1"/>
  <c r="AN36" i="1"/>
  <c r="F170" i="3"/>
  <c r="F29" i="1"/>
  <c r="G44" i="14"/>
  <c r="F38" i="3"/>
  <c r="F50" i="3" s="1"/>
  <c r="F62" i="1" s="1"/>
  <c r="F51" i="1"/>
  <c r="J35" i="14"/>
  <c r="I37" i="14"/>
  <c r="I36" i="14"/>
  <c r="K113" i="1" l="1"/>
  <c r="B2" i="13"/>
  <c r="D107" i="13" s="1"/>
  <c r="K114" i="1"/>
  <c r="V222" i="3"/>
  <c r="V256" i="3"/>
  <c r="V261" i="3"/>
  <c r="V263" i="3"/>
  <c r="V202" i="3"/>
  <c r="V204" i="3"/>
  <c r="V206" i="3"/>
  <c r="V208" i="3"/>
  <c r="V210" i="3"/>
  <c r="V212" i="3"/>
  <c r="V214" i="3"/>
  <c r="V216" i="3"/>
  <c r="V218" i="3"/>
  <c r="V225" i="3"/>
  <c r="V227" i="3"/>
  <c r="V229" i="3"/>
  <c r="V231" i="3"/>
  <c r="V233" i="3"/>
  <c r="V235" i="3"/>
  <c r="V237" i="3"/>
  <c r="V239" i="3"/>
  <c r="V220" i="3"/>
  <c r="V221" i="3"/>
  <c r="V223" i="3"/>
  <c r="V224" i="3"/>
  <c r="V241" i="3"/>
  <c r="V242" i="3"/>
  <c r="V243" i="3"/>
  <c r="V244" i="3"/>
  <c r="V245" i="3"/>
  <c r="V246" i="3"/>
  <c r="V247" i="3"/>
  <c r="V248" i="3"/>
  <c r="V249" i="3"/>
  <c r="V250" i="3"/>
  <c r="V251" i="3"/>
  <c r="V252" i="3"/>
  <c r="V253" i="3"/>
  <c r="V254" i="3"/>
  <c r="V255" i="3"/>
  <c r="V257" i="3"/>
  <c r="V258" i="3"/>
  <c r="V259" i="3"/>
  <c r="V260" i="3"/>
  <c r="V262" i="3"/>
  <c r="V201" i="3"/>
  <c r="V203" i="3"/>
  <c r="V205" i="3"/>
  <c r="V207" i="3"/>
  <c r="V209" i="3"/>
  <c r="V211" i="3"/>
  <c r="V213" i="3"/>
  <c r="V215" i="3"/>
  <c r="V217" i="3"/>
  <c r="V219" i="3"/>
  <c r="V226" i="3"/>
  <c r="V228" i="3"/>
  <c r="V230" i="3"/>
  <c r="V232" i="3"/>
  <c r="V234" i="3"/>
  <c r="V236" i="3"/>
  <c r="V238" i="3"/>
  <c r="V240" i="3"/>
  <c r="K35" i="14"/>
  <c r="J36" i="14"/>
  <c r="J37" i="14"/>
  <c r="C2" i="13"/>
  <c r="I39" i="14"/>
  <c r="I40" i="14"/>
  <c r="F39" i="3"/>
  <c r="F176" i="3" s="1"/>
  <c r="F175" i="3"/>
  <c r="F37" i="3"/>
  <c r="F174" i="3" s="1"/>
  <c r="H44" i="14"/>
  <c r="V198" i="3"/>
  <c r="V194" i="3"/>
  <c r="V190" i="3"/>
  <c r="V186" i="3"/>
  <c r="V197" i="3"/>
  <c r="V185" i="3"/>
  <c r="V199" i="3"/>
  <c r="V195" i="3"/>
  <c r="V191" i="3"/>
  <c r="V187" i="3"/>
  <c r="V193" i="3"/>
  <c r="V189" i="3"/>
  <c r="V192" i="3"/>
  <c r="V188" i="3"/>
  <c r="V200" i="3"/>
  <c r="V196" i="3"/>
  <c r="V184" i="3"/>
  <c r="O198" i="3"/>
  <c r="O194" i="3"/>
  <c r="O193" i="3"/>
  <c r="O199" i="3"/>
  <c r="O195" i="3"/>
  <c r="O201" i="3"/>
  <c r="O200" i="3"/>
  <c r="O196" i="3"/>
  <c r="O190" i="3"/>
  <c r="O191" i="3"/>
  <c r="O189" i="3"/>
  <c r="D71" i="13" l="1"/>
  <c r="E71" i="13" s="1"/>
  <c r="D29" i="13"/>
  <c r="E29" i="13" s="1"/>
  <c r="G29" i="13" s="1"/>
  <c r="D88" i="13"/>
  <c r="E88" i="13" s="1"/>
  <c r="D114" i="13"/>
  <c r="D89" i="13"/>
  <c r="E89" i="13" s="1"/>
  <c r="D70" i="13"/>
  <c r="E70" i="13" s="1"/>
  <c r="D12" i="13"/>
  <c r="E12" i="13" s="1"/>
  <c r="M12" i="13" s="1"/>
  <c r="D69" i="13"/>
  <c r="E69" i="13" s="1"/>
  <c r="D43" i="13"/>
  <c r="E43" i="13" s="1"/>
  <c r="D30" i="13"/>
  <c r="E30" i="13" s="1"/>
  <c r="M30" i="13" s="1"/>
  <c r="D77" i="13"/>
  <c r="E77" i="13" s="1"/>
  <c r="D82" i="13"/>
  <c r="E82" i="13" s="1"/>
  <c r="D56" i="13"/>
  <c r="E56" i="13" s="1"/>
  <c r="D28" i="13"/>
  <c r="E28" i="13" s="1"/>
  <c r="M28" i="13" s="1"/>
  <c r="D79" i="13"/>
  <c r="E79" i="13" s="1"/>
  <c r="D109" i="13"/>
  <c r="E109" i="13" s="1"/>
  <c r="D50" i="13"/>
  <c r="E50" i="13" s="1"/>
  <c r="D90" i="13"/>
  <c r="E90" i="13" s="1"/>
  <c r="D27" i="13"/>
  <c r="E27" i="13" s="1"/>
  <c r="M27" i="13" s="1"/>
  <c r="D64" i="13"/>
  <c r="E64" i="13" s="1"/>
  <c r="D57" i="13"/>
  <c r="E57" i="13" s="1"/>
  <c r="D44" i="13"/>
  <c r="E44" i="13" s="1"/>
  <c r="D17" i="13"/>
  <c r="E17" i="13" s="1"/>
  <c r="M17" i="13" s="1"/>
  <c r="D62" i="13"/>
  <c r="E62" i="13" s="1"/>
  <c r="D106" i="13"/>
  <c r="E106" i="13" s="1"/>
  <c r="D31" i="13"/>
  <c r="E31" i="13" s="1"/>
  <c r="M31" i="13" s="1"/>
  <c r="D72" i="13"/>
  <c r="E72" i="13" s="1"/>
  <c r="D112" i="13"/>
  <c r="D81" i="13"/>
  <c r="E81" i="13" s="1"/>
  <c r="D14" i="13"/>
  <c r="E14" i="13" s="1"/>
  <c r="M14" i="13" s="1"/>
  <c r="D55" i="13"/>
  <c r="E55" i="13" s="1"/>
  <c r="D10" i="13"/>
  <c r="D45" i="13"/>
  <c r="E45" i="13" s="1"/>
  <c r="D11" i="13"/>
  <c r="E11" i="13" s="1"/>
  <c r="M11" i="13" s="1"/>
  <c r="D92" i="13"/>
  <c r="E92" i="13" s="1"/>
  <c r="D13" i="13"/>
  <c r="E13" i="13" s="1"/>
  <c r="M13" i="13" s="1"/>
  <c r="D34" i="13"/>
  <c r="E34" i="13" s="1"/>
  <c r="D24" i="13"/>
  <c r="E24" i="13" s="1"/>
  <c r="M24" i="13" s="1"/>
  <c r="D96" i="13"/>
  <c r="E96" i="13" s="1"/>
  <c r="D25" i="13"/>
  <c r="E25" i="13" s="1"/>
  <c r="M25" i="13" s="1"/>
  <c r="D47" i="13"/>
  <c r="E47" i="13" s="1"/>
  <c r="D99" i="13"/>
  <c r="E99" i="13" s="1"/>
  <c r="D36" i="13"/>
  <c r="E36" i="13" s="1"/>
  <c r="D85" i="13"/>
  <c r="E85" i="13" s="1"/>
  <c r="D37" i="13"/>
  <c r="E37" i="13" s="1"/>
  <c r="D66" i="13"/>
  <c r="E66" i="13" s="1"/>
  <c r="D98" i="13"/>
  <c r="E98" i="13" s="1"/>
  <c r="D23" i="13"/>
  <c r="E23" i="13" s="1"/>
  <c r="D48" i="13"/>
  <c r="E48" i="13" s="1"/>
  <c r="D76" i="13"/>
  <c r="E76" i="13" s="1"/>
  <c r="D108" i="13"/>
  <c r="E108" i="13" s="1"/>
  <c r="D49" i="13"/>
  <c r="E49" i="13" s="1"/>
  <c r="D97" i="13"/>
  <c r="E97" i="13" s="1"/>
  <c r="D22" i="13"/>
  <c r="E22" i="13" s="1"/>
  <c r="M22" i="13" s="1"/>
  <c r="D51" i="13"/>
  <c r="E51" i="13" s="1"/>
  <c r="D95" i="13"/>
  <c r="E95" i="13" s="1"/>
  <c r="D16" i="13"/>
  <c r="E16" i="13" s="1"/>
  <c r="M16" i="13" s="1"/>
  <c r="D53" i="13"/>
  <c r="E53" i="13" s="1"/>
  <c r="D101" i="13"/>
  <c r="E101" i="13" s="1"/>
  <c r="D33" i="13"/>
  <c r="E33" i="13" s="1"/>
  <c r="D54" i="13"/>
  <c r="E54" i="13" s="1"/>
  <c r="D78" i="13"/>
  <c r="E78" i="13" s="1"/>
  <c r="D102" i="13"/>
  <c r="E102" i="13" s="1"/>
  <c r="D15" i="13"/>
  <c r="E15" i="13" s="1"/>
  <c r="M15" i="13" s="1"/>
  <c r="D39" i="13"/>
  <c r="E39" i="13" s="1"/>
  <c r="D60" i="13"/>
  <c r="E60" i="13" s="1"/>
  <c r="D80" i="13"/>
  <c r="E80" i="13" s="1"/>
  <c r="D104" i="13"/>
  <c r="E104" i="13" s="1"/>
  <c r="D20" i="13"/>
  <c r="E20" i="13" s="1"/>
  <c r="D65" i="13"/>
  <c r="E65" i="13" s="1"/>
  <c r="D113" i="13"/>
  <c r="D18" i="13"/>
  <c r="E18" i="13" s="1"/>
  <c r="D38" i="13"/>
  <c r="E38" i="13" s="1"/>
  <c r="D63" i="13"/>
  <c r="E63" i="13" s="1"/>
  <c r="D83" i="13"/>
  <c r="E83" i="13" s="1"/>
  <c r="D103" i="13"/>
  <c r="E103" i="13" s="1"/>
  <c r="D67" i="13"/>
  <c r="E67" i="13" s="1"/>
  <c r="D87" i="13"/>
  <c r="E87" i="13" s="1"/>
  <c r="D111" i="13"/>
  <c r="D32" i="13"/>
  <c r="E32" i="13" s="1"/>
  <c r="D61" i="13"/>
  <c r="E61" i="13" s="1"/>
  <c r="D93" i="13"/>
  <c r="E93" i="13" s="1"/>
  <c r="D21" i="13"/>
  <c r="E21" i="13" s="1"/>
  <c r="D41" i="13"/>
  <c r="E41" i="13" s="1"/>
  <c r="D58" i="13"/>
  <c r="E58" i="13" s="1"/>
  <c r="D74" i="13"/>
  <c r="E74" i="13" s="1"/>
  <c r="D94" i="13"/>
  <c r="E94" i="13" s="1"/>
  <c r="D110" i="13"/>
  <c r="E110" i="13" s="1"/>
  <c r="D19" i="13"/>
  <c r="E19" i="13" s="1"/>
  <c r="D35" i="13"/>
  <c r="E35" i="13" s="1"/>
  <c r="D52" i="13"/>
  <c r="E52" i="13" s="1"/>
  <c r="D68" i="13"/>
  <c r="E68" i="13" s="1"/>
  <c r="D84" i="13"/>
  <c r="E84" i="13" s="1"/>
  <c r="D100" i="13"/>
  <c r="E100" i="13" s="1"/>
  <c r="D46" i="13"/>
  <c r="E46" i="13" s="1"/>
  <c r="D40" i="13"/>
  <c r="E40" i="13" s="1"/>
  <c r="D73" i="13"/>
  <c r="E73" i="13" s="1"/>
  <c r="D105" i="13"/>
  <c r="E105" i="13" s="1"/>
  <c r="D86" i="13"/>
  <c r="E86" i="13" s="1"/>
  <c r="D26" i="13"/>
  <c r="E26" i="13" s="1"/>
  <c r="D42" i="13"/>
  <c r="E42" i="13" s="1"/>
  <c r="D59" i="13"/>
  <c r="E59" i="13" s="1"/>
  <c r="D75" i="13"/>
  <c r="E75" i="13" s="1"/>
  <c r="D91" i="13"/>
  <c r="E91" i="13" s="1"/>
  <c r="F203" i="3"/>
  <c r="F206" i="3"/>
  <c r="F211" i="3"/>
  <c r="F214" i="3"/>
  <c r="F219" i="3"/>
  <c r="F222" i="3"/>
  <c r="F227" i="3"/>
  <c r="F230" i="3"/>
  <c r="F235" i="3"/>
  <c r="F238" i="3"/>
  <c r="F243" i="3"/>
  <c r="F249" i="3"/>
  <c r="F252" i="3"/>
  <c r="F257" i="3"/>
  <c r="F260" i="3"/>
  <c r="F201" i="3"/>
  <c r="F204" i="3"/>
  <c r="F209" i="3"/>
  <c r="F212" i="3"/>
  <c r="F217" i="3"/>
  <c r="F220" i="3"/>
  <c r="F225" i="3"/>
  <c r="F228" i="3"/>
  <c r="F233" i="3"/>
  <c r="F236" i="3"/>
  <c r="F241" i="3"/>
  <c r="F244" i="3"/>
  <c r="F247" i="3"/>
  <c r="F250" i="3"/>
  <c r="F255" i="3"/>
  <c r="F258" i="3"/>
  <c r="F263" i="3"/>
  <c r="F210" i="3"/>
  <c r="F215" i="3"/>
  <c r="F226" i="3"/>
  <c r="F231" i="3"/>
  <c r="F242" i="3"/>
  <c r="F248" i="3"/>
  <c r="F253" i="3"/>
  <c r="F207" i="3"/>
  <c r="F223" i="3"/>
  <c r="F234" i="3"/>
  <c r="F245" i="3"/>
  <c r="F256" i="3"/>
  <c r="F205" i="3"/>
  <c r="F216" i="3"/>
  <c r="F221" i="3"/>
  <c r="F232" i="3"/>
  <c r="F237" i="3"/>
  <c r="F254" i="3"/>
  <c r="F259" i="3"/>
  <c r="F202" i="3"/>
  <c r="F218" i="3"/>
  <c r="F239" i="3"/>
  <c r="F261" i="3"/>
  <c r="F208" i="3"/>
  <c r="F229" i="3"/>
  <c r="F251" i="3"/>
  <c r="F246" i="3"/>
  <c r="F213" i="3"/>
  <c r="F240" i="3"/>
  <c r="F262" i="3"/>
  <c r="F224" i="3"/>
  <c r="E10" i="13"/>
  <c r="M10" i="13" s="1"/>
  <c r="F200" i="3"/>
  <c r="F196" i="3"/>
  <c r="F192" i="3"/>
  <c r="F188" i="3"/>
  <c r="F184" i="3"/>
  <c r="F195" i="3"/>
  <c r="F197" i="3"/>
  <c r="F193" i="3"/>
  <c r="F189" i="3"/>
  <c r="F185" i="3"/>
  <c r="F199" i="3"/>
  <c r="F191" i="3"/>
  <c r="F187" i="3"/>
  <c r="F194" i="3"/>
  <c r="F190" i="3"/>
  <c r="F198" i="3"/>
  <c r="F186" i="3"/>
  <c r="G24" i="13"/>
  <c r="J39" i="14"/>
  <c r="J40" i="14"/>
  <c r="I44" i="14"/>
  <c r="E112" i="13"/>
  <c r="E111" i="13"/>
  <c r="E114" i="13"/>
  <c r="E113" i="13"/>
  <c r="E107" i="13"/>
  <c r="L35" i="14"/>
  <c r="K37" i="14"/>
  <c r="K36" i="14"/>
  <c r="G30" i="13" l="1"/>
  <c r="O30" i="13" s="1"/>
  <c r="M23" i="13"/>
  <c r="G23" i="13"/>
  <c r="H23" i="13" s="1"/>
  <c r="G31" i="13"/>
  <c r="H31" i="13" s="1"/>
  <c r="G20" i="13"/>
  <c r="O20" i="13" s="1"/>
  <c r="M20" i="13"/>
  <c r="M19" i="13"/>
  <c r="G19" i="13"/>
  <c r="H19" i="13" s="1"/>
  <c r="G12" i="13"/>
  <c r="H12" i="13" s="1"/>
  <c r="G27" i="13"/>
  <c r="H27" i="13" s="1"/>
  <c r="M26" i="13"/>
  <c r="G26" i="13"/>
  <c r="O26" i="13" s="1"/>
  <c r="M18" i="13"/>
  <c r="G18" i="13"/>
  <c r="H18" i="13" s="1"/>
  <c r="G14" i="13"/>
  <c r="O14" i="13" s="1"/>
  <c r="G11" i="13"/>
  <c r="O11" i="13" s="1"/>
  <c r="M29" i="13"/>
  <c r="G22" i="13"/>
  <c r="O22" i="13" s="1"/>
  <c r="M21" i="13"/>
  <c r="G21" i="13"/>
  <c r="H21" i="13" s="1"/>
  <c r="G17" i="13"/>
  <c r="O17" i="13" s="1"/>
  <c r="G25" i="13"/>
  <c r="H25" i="13" s="1"/>
  <c r="G10" i="13"/>
  <c r="H10" i="13" s="1"/>
  <c r="G15" i="13"/>
  <c r="O15" i="13" s="1"/>
  <c r="G16" i="13"/>
  <c r="O16" i="13" s="1"/>
  <c r="G13" i="13"/>
  <c r="H13" i="13" s="1"/>
  <c r="G28" i="13"/>
  <c r="O28" i="13" s="1"/>
  <c r="G213" i="3"/>
  <c r="L213" i="3" s="1"/>
  <c r="U213" i="3" s="1"/>
  <c r="K213" i="3"/>
  <c r="T213" i="3" s="1"/>
  <c r="B213" i="3"/>
  <c r="E213" i="3"/>
  <c r="J213" i="3" s="1"/>
  <c r="S213" i="3" s="1"/>
  <c r="B208" i="3"/>
  <c r="G208" i="3"/>
  <c r="L208" i="3" s="1"/>
  <c r="U208" i="3" s="1"/>
  <c r="K208" i="3"/>
  <c r="T208" i="3" s="1"/>
  <c r="E208" i="3"/>
  <c r="J208" i="3" s="1"/>
  <c r="S208" i="3" s="1"/>
  <c r="K202" i="3"/>
  <c r="T202" i="3" s="1"/>
  <c r="E202" i="3"/>
  <c r="J202" i="3" s="1"/>
  <c r="S202" i="3" s="1"/>
  <c r="B202" i="3"/>
  <c r="G202" i="3"/>
  <c r="L202" i="3" s="1"/>
  <c r="U202" i="3" s="1"/>
  <c r="B232" i="3"/>
  <c r="G232" i="3"/>
  <c r="L232" i="3" s="1"/>
  <c r="U232" i="3" s="1"/>
  <c r="K232" i="3"/>
  <c r="T232" i="3" s="1"/>
  <c r="E232" i="3"/>
  <c r="J232" i="3" s="1"/>
  <c r="S232" i="3" s="1"/>
  <c r="E256" i="3"/>
  <c r="J256" i="3" s="1"/>
  <c r="K256" i="3"/>
  <c r="G256" i="3"/>
  <c r="L256" i="3" s="1"/>
  <c r="B256" i="3"/>
  <c r="G207" i="3"/>
  <c r="L207" i="3" s="1"/>
  <c r="U207" i="3" s="1"/>
  <c r="K207" i="3"/>
  <c r="T207" i="3" s="1"/>
  <c r="E207" i="3"/>
  <c r="J207" i="3" s="1"/>
  <c r="S207" i="3" s="1"/>
  <c r="B207" i="3"/>
  <c r="G231" i="3"/>
  <c r="L231" i="3" s="1"/>
  <c r="U231" i="3" s="1"/>
  <c r="B231" i="3"/>
  <c r="K231" i="3"/>
  <c r="T231" i="3" s="1"/>
  <c r="E231" i="3"/>
  <c r="J231" i="3" s="1"/>
  <c r="S231" i="3" s="1"/>
  <c r="G263" i="3"/>
  <c r="L263" i="3" s="1"/>
  <c r="B263" i="3"/>
  <c r="K263" i="3"/>
  <c r="E263" i="3"/>
  <c r="J263" i="3" s="1"/>
  <c r="G247" i="3"/>
  <c r="L247" i="3" s="1"/>
  <c r="B247" i="3"/>
  <c r="K247" i="3"/>
  <c r="E247" i="3"/>
  <c r="J247" i="3" s="1"/>
  <c r="G233" i="3"/>
  <c r="L233" i="3" s="1"/>
  <c r="U233" i="3" s="1"/>
  <c r="K233" i="3"/>
  <c r="T233" i="3" s="1"/>
  <c r="B233" i="3"/>
  <c r="E233" i="3"/>
  <c r="J233" i="3" s="1"/>
  <c r="S233" i="3" s="1"/>
  <c r="G217" i="3"/>
  <c r="L217" i="3" s="1"/>
  <c r="U217" i="3" s="1"/>
  <c r="K217" i="3"/>
  <c r="T217" i="3" s="1"/>
  <c r="B217" i="3"/>
  <c r="E217" i="3"/>
  <c r="J217" i="3" s="1"/>
  <c r="S217" i="3" s="1"/>
  <c r="G201" i="3"/>
  <c r="L201" i="3" s="1"/>
  <c r="U201" i="3" s="1"/>
  <c r="K201" i="3"/>
  <c r="T201" i="3" s="1"/>
  <c r="B201" i="3"/>
  <c r="E201" i="3"/>
  <c r="J201" i="3" s="1"/>
  <c r="S201" i="3" s="1"/>
  <c r="G249" i="3"/>
  <c r="L249" i="3" s="1"/>
  <c r="K249" i="3"/>
  <c r="B249" i="3"/>
  <c r="E249" i="3"/>
  <c r="J249" i="3" s="1"/>
  <c r="K230" i="3"/>
  <c r="T230" i="3" s="1"/>
  <c r="B230" i="3"/>
  <c r="G230" i="3"/>
  <c r="L230" i="3" s="1"/>
  <c r="U230" i="3" s="1"/>
  <c r="E230" i="3"/>
  <c r="J230" i="3" s="1"/>
  <c r="S230" i="3" s="1"/>
  <c r="K214" i="3"/>
  <c r="T214" i="3" s="1"/>
  <c r="B214" i="3"/>
  <c r="G214" i="3"/>
  <c r="L214" i="3" s="1"/>
  <c r="U214" i="3" s="1"/>
  <c r="E214" i="3"/>
  <c r="J214" i="3" s="1"/>
  <c r="S214" i="3" s="1"/>
  <c r="B224" i="3"/>
  <c r="G224" i="3"/>
  <c r="L224" i="3" s="1"/>
  <c r="U224" i="3" s="1"/>
  <c r="E224" i="3"/>
  <c r="J224" i="3" s="1"/>
  <c r="S224" i="3" s="1"/>
  <c r="K224" i="3"/>
  <c r="T224" i="3" s="1"/>
  <c r="K246" i="3"/>
  <c r="G246" i="3"/>
  <c r="L246" i="3" s="1"/>
  <c r="B246" i="3"/>
  <c r="E246" i="3"/>
  <c r="J246" i="3" s="1"/>
  <c r="G261" i="3"/>
  <c r="L261" i="3" s="1"/>
  <c r="K261" i="3"/>
  <c r="B261" i="3"/>
  <c r="E261" i="3"/>
  <c r="J261" i="3" s="1"/>
  <c r="G259" i="3"/>
  <c r="L259" i="3" s="1"/>
  <c r="B259" i="3"/>
  <c r="E259" i="3"/>
  <c r="J259" i="3" s="1"/>
  <c r="K259" i="3"/>
  <c r="G221" i="3"/>
  <c r="L221" i="3" s="1"/>
  <c r="U221" i="3" s="1"/>
  <c r="K221" i="3"/>
  <c r="T221" i="3" s="1"/>
  <c r="B221" i="3"/>
  <c r="E221" i="3"/>
  <c r="J221" i="3" s="1"/>
  <c r="S221" i="3" s="1"/>
  <c r="G245" i="3"/>
  <c r="L245" i="3" s="1"/>
  <c r="K245" i="3"/>
  <c r="B245" i="3"/>
  <c r="E245" i="3"/>
  <c r="J245" i="3" s="1"/>
  <c r="G253" i="3"/>
  <c r="L253" i="3" s="1"/>
  <c r="K253" i="3"/>
  <c r="B253" i="3"/>
  <c r="E253" i="3"/>
  <c r="J253" i="3" s="1"/>
  <c r="K226" i="3"/>
  <c r="T226" i="3" s="1"/>
  <c r="B226" i="3"/>
  <c r="G226" i="3"/>
  <c r="L226" i="3" s="1"/>
  <c r="U226" i="3" s="1"/>
  <c r="E226" i="3"/>
  <c r="J226" i="3" s="1"/>
  <c r="S226" i="3" s="1"/>
  <c r="K258" i="3"/>
  <c r="B258" i="3"/>
  <c r="G258" i="3"/>
  <c r="L258" i="3" s="1"/>
  <c r="E258" i="3"/>
  <c r="J258" i="3" s="1"/>
  <c r="E244" i="3"/>
  <c r="J244" i="3" s="1"/>
  <c r="K244" i="3"/>
  <c r="B244" i="3"/>
  <c r="G244" i="3"/>
  <c r="L244" i="3" s="1"/>
  <c r="B228" i="3"/>
  <c r="K228" i="3"/>
  <c r="T228" i="3" s="1"/>
  <c r="E228" i="3"/>
  <c r="J228" i="3" s="1"/>
  <c r="S228" i="3" s="1"/>
  <c r="G228" i="3"/>
  <c r="L228" i="3" s="1"/>
  <c r="U228" i="3" s="1"/>
  <c r="B212" i="3"/>
  <c r="K212" i="3"/>
  <c r="T212" i="3" s="1"/>
  <c r="E212" i="3"/>
  <c r="J212" i="3" s="1"/>
  <c r="S212" i="3" s="1"/>
  <c r="G212" i="3"/>
  <c r="L212" i="3" s="1"/>
  <c r="U212" i="3" s="1"/>
  <c r="E260" i="3"/>
  <c r="J260" i="3" s="1"/>
  <c r="G260" i="3"/>
  <c r="L260" i="3" s="1"/>
  <c r="K260" i="3"/>
  <c r="B260" i="3"/>
  <c r="G243" i="3"/>
  <c r="L243" i="3" s="1"/>
  <c r="U243" i="3" s="1"/>
  <c r="B243" i="3"/>
  <c r="E243" i="3"/>
  <c r="J243" i="3" s="1"/>
  <c r="S243" i="3" s="1"/>
  <c r="K243" i="3"/>
  <c r="T243" i="3" s="1"/>
  <c r="G227" i="3"/>
  <c r="L227" i="3" s="1"/>
  <c r="U227" i="3" s="1"/>
  <c r="B227" i="3"/>
  <c r="K227" i="3"/>
  <c r="T227" i="3" s="1"/>
  <c r="E227" i="3"/>
  <c r="J227" i="3" s="1"/>
  <c r="S227" i="3" s="1"/>
  <c r="G211" i="3"/>
  <c r="L211" i="3" s="1"/>
  <c r="U211" i="3" s="1"/>
  <c r="E211" i="3"/>
  <c r="J211" i="3" s="1"/>
  <c r="S211" i="3" s="1"/>
  <c r="B211" i="3"/>
  <c r="K211" i="3"/>
  <c r="T211" i="3" s="1"/>
  <c r="K262" i="3"/>
  <c r="G262" i="3"/>
  <c r="L262" i="3" s="1"/>
  <c r="B262" i="3"/>
  <c r="E262" i="3"/>
  <c r="J262" i="3" s="1"/>
  <c r="G251" i="3"/>
  <c r="L251" i="3" s="1"/>
  <c r="B251" i="3"/>
  <c r="K251" i="3"/>
  <c r="E251" i="3"/>
  <c r="J251" i="3" s="1"/>
  <c r="G239" i="3"/>
  <c r="L239" i="3" s="1"/>
  <c r="U239" i="3" s="1"/>
  <c r="E239" i="3"/>
  <c r="J239" i="3" s="1"/>
  <c r="S239" i="3" s="1"/>
  <c r="K239" i="3"/>
  <c r="T239" i="3" s="1"/>
  <c r="B239" i="3"/>
  <c r="K254" i="3"/>
  <c r="G254" i="3"/>
  <c r="L254" i="3" s="1"/>
  <c r="B254" i="3"/>
  <c r="E254" i="3"/>
  <c r="J254" i="3" s="1"/>
  <c r="B216" i="3"/>
  <c r="G216" i="3"/>
  <c r="L216" i="3" s="1"/>
  <c r="U216" i="3" s="1"/>
  <c r="K216" i="3"/>
  <c r="T216" i="3" s="1"/>
  <c r="E216" i="3"/>
  <c r="J216" i="3" s="1"/>
  <c r="S216" i="3" s="1"/>
  <c r="K234" i="3"/>
  <c r="T234" i="3" s="1"/>
  <c r="E234" i="3"/>
  <c r="J234" i="3" s="1"/>
  <c r="S234" i="3" s="1"/>
  <c r="B234" i="3"/>
  <c r="G234" i="3"/>
  <c r="L234" i="3" s="1"/>
  <c r="U234" i="3" s="1"/>
  <c r="E248" i="3"/>
  <c r="J248" i="3" s="1"/>
  <c r="G248" i="3"/>
  <c r="L248" i="3" s="1"/>
  <c r="K248" i="3"/>
  <c r="B248" i="3"/>
  <c r="G215" i="3"/>
  <c r="L215" i="3" s="1"/>
  <c r="U215" i="3" s="1"/>
  <c r="B215" i="3"/>
  <c r="E215" i="3"/>
  <c r="J215" i="3" s="1"/>
  <c r="S215" i="3" s="1"/>
  <c r="K215" i="3"/>
  <c r="T215" i="3" s="1"/>
  <c r="G255" i="3"/>
  <c r="L255" i="3" s="1"/>
  <c r="K255" i="3"/>
  <c r="B255" i="3"/>
  <c r="E255" i="3"/>
  <c r="J255" i="3" s="1"/>
  <c r="G241" i="3"/>
  <c r="L241" i="3" s="1"/>
  <c r="U241" i="3" s="1"/>
  <c r="B241" i="3"/>
  <c r="K241" i="3"/>
  <c r="T241" i="3" s="1"/>
  <c r="E241" i="3"/>
  <c r="J241" i="3" s="1"/>
  <c r="S241" i="3" s="1"/>
  <c r="G225" i="3"/>
  <c r="L225" i="3" s="1"/>
  <c r="U225" i="3" s="1"/>
  <c r="B225" i="3"/>
  <c r="K225" i="3"/>
  <c r="T225" i="3" s="1"/>
  <c r="E225" i="3"/>
  <c r="J225" i="3" s="1"/>
  <c r="S225" i="3" s="1"/>
  <c r="G209" i="3"/>
  <c r="L209" i="3" s="1"/>
  <c r="U209" i="3" s="1"/>
  <c r="B209" i="3"/>
  <c r="K209" i="3"/>
  <c r="T209" i="3" s="1"/>
  <c r="E209" i="3"/>
  <c r="J209" i="3" s="1"/>
  <c r="S209" i="3" s="1"/>
  <c r="G257" i="3"/>
  <c r="L257" i="3" s="1"/>
  <c r="B257" i="3"/>
  <c r="K257" i="3"/>
  <c r="E257" i="3"/>
  <c r="J257" i="3" s="1"/>
  <c r="K238" i="3"/>
  <c r="T238" i="3" s="1"/>
  <c r="G238" i="3"/>
  <c r="L238" i="3" s="1"/>
  <c r="U238" i="3" s="1"/>
  <c r="B238" i="3"/>
  <c r="E238" i="3"/>
  <c r="J238" i="3" s="1"/>
  <c r="S238" i="3" s="1"/>
  <c r="K222" i="3"/>
  <c r="T222" i="3" s="1"/>
  <c r="G222" i="3"/>
  <c r="L222" i="3" s="1"/>
  <c r="U222" i="3" s="1"/>
  <c r="B222" i="3"/>
  <c r="E222" i="3"/>
  <c r="J222" i="3" s="1"/>
  <c r="S222" i="3" s="1"/>
  <c r="K206" i="3"/>
  <c r="T206" i="3" s="1"/>
  <c r="G206" i="3"/>
  <c r="L206" i="3" s="1"/>
  <c r="U206" i="3" s="1"/>
  <c r="E206" i="3"/>
  <c r="J206" i="3" s="1"/>
  <c r="S206" i="3" s="1"/>
  <c r="B206" i="3"/>
  <c r="B240" i="3"/>
  <c r="G240" i="3"/>
  <c r="L240" i="3" s="1"/>
  <c r="U240" i="3" s="1"/>
  <c r="E240" i="3"/>
  <c r="J240" i="3" s="1"/>
  <c r="S240" i="3" s="1"/>
  <c r="K240" i="3"/>
  <c r="T240" i="3" s="1"/>
  <c r="G229" i="3"/>
  <c r="L229" i="3" s="1"/>
  <c r="U229" i="3" s="1"/>
  <c r="K229" i="3"/>
  <c r="T229" i="3" s="1"/>
  <c r="B229" i="3"/>
  <c r="E229" i="3"/>
  <c r="J229" i="3" s="1"/>
  <c r="S229" i="3" s="1"/>
  <c r="K218" i="3"/>
  <c r="T218" i="3" s="1"/>
  <c r="E218" i="3"/>
  <c r="J218" i="3" s="1"/>
  <c r="S218" i="3" s="1"/>
  <c r="B218" i="3"/>
  <c r="G218" i="3"/>
  <c r="L218" i="3" s="1"/>
  <c r="U218" i="3" s="1"/>
  <c r="G237" i="3"/>
  <c r="L237" i="3" s="1"/>
  <c r="U237" i="3" s="1"/>
  <c r="K237" i="3"/>
  <c r="T237" i="3" s="1"/>
  <c r="B237" i="3"/>
  <c r="E237" i="3"/>
  <c r="J237" i="3" s="1"/>
  <c r="S237" i="3" s="1"/>
  <c r="G205" i="3"/>
  <c r="L205" i="3" s="1"/>
  <c r="U205" i="3" s="1"/>
  <c r="K205" i="3"/>
  <c r="T205" i="3" s="1"/>
  <c r="B205" i="3"/>
  <c r="E205" i="3"/>
  <c r="J205" i="3" s="1"/>
  <c r="S205" i="3" s="1"/>
  <c r="G223" i="3"/>
  <c r="L223" i="3" s="1"/>
  <c r="U223" i="3" s="1"/>
  <c r="E223" i="3"/>
  <c r="J223" i="3" s="1"/>
  <c r="S223" i="3" s="1"/>
  <c r="K223" i="3"/>
  <c r="T223" i="3" s="1"/>
  <c r="B223" i="3"/>
  <c r="K242" i="3"/>
  <c r="T242" i="3" s="1"/>
  <c r="B242" i="3"/>
  <c r="G242" i="3"/>
  <c r="L242" i="3" s="1"/>
  <c r="U242" i="3" s="1"/>
  <c r="E242" i="3"/>
  <c r="J242" i="3" s="1"/>
  <c r="S242" i="3" s="1"/>
  <c r="K210" i="3"/>
  <c r="T210" i="3" s="1"/>
  <c r="E210" i="3"/>
  <c r="J210" i="3" s="1"/>
  <c r="S210" i="3" s="1"/>
  <c r="B210" i="3"/>
  <c r="G210" i="3"/>
  <c r="L210" i="3" s="1"/>
  <c r="U210" i="3" s="1"/>
  <c r="K250" i="3"/>
  <c r="G250" i="3"/>
  <c r="L250" i="3" s="1"/>
  <c r="E250" i="3"/>
  <c r="J250" i="3" s="1"/>
  <c r="B250" i="3"/>
  <c r="B236" i="3"/>
  <c r="K236" i="3"/>
  <c r="T236" i="3" s="1"/>
  <c r="G236" i="3"/>
  <c r="L236" i="3" s="1"/>
  <c r="U236" i="3" s="1"/>
  <c r="E236" i="3"/>
  <c r="J236" i="3" s="1"/>
  <c r="S236" i="3" s="1"/>
  <c r="B220" i="3"/>
  <c r="K220" i="3"/>
  <c r="T220" i="3" s="1"/>
  <c r="G220" i="3"/>
  <c r="L220" i="3" s="1"/>
  <c r="U220" i="3" s="1"/>
  <c r="E220" i="3"/>
  <c r="J220" i="3" s="1"/>
  <c r="S220" i="3" s="1"/>
  <c r="B204" i="3"/>
  <c r="E204" i="3"/>
  <c r="J204" i="3" s="1"/>
  <c r="S204" i="3" s="1"/>
  <c r="K204" i="3"/>
  <c r="T204" i="3" s="1"/>
  <c r="G204" i="3"/>
  <c r="L204" i="3" s="1"/>
  <c r="U204" i="3" s="1"/>
  <c r="E252" i="3"/>
  <c r="J252" i="3" s="1"/>
  <c r="G252" i="3"/>
  <c r="L252" i="3" s="1"/>
  <c r="K252" i="3"/>
  <c r="B252" i="3"/>
  <c r="G235" i="3"/>
  <c r="L235" i="3" s="1"/>
  <c r="U235" i="3" s="1"/>
  <c r="B235" i="3"/>
  <c r="E235" i="3"/>
  <c r="J235" i="3" s="1"/>
  <c r="S235" i="3" s="1"/>
  <c r="K235" i="3"/>
  <c r="T235" i="3" s="1"/>
  <c r="G219" i="3"/>
  <c r="L219" i="3" s="1"/>
  <c r="U219" i="3" s="1"/>
  <c r="B219" i="3"/>
  <c r="E219" i="3"/>
  <c r="J219" i="3" s="1"/>
  <c r="S219" i="3" s="1"/>
  <c r="K219" i="3"/>
  <c r="T219" i="3" s="1"/>
  <c r="G203" i="3"/>
  <c r="L203" i="3" s="1"/>
  <c r="U203" i="3" s="1"/>
  <c r="B203" i="3"/>
  <c r="E203" i="3"/>
  <c r="J203" i="3" s="1"/>
  <c r="S203" i="3" s="1"/>
  <c r="K203" i="3"/>
  <c r="T203" i="3" s="1"/>
  <c r="M35" i="14"/>
  <c r="L36" i="14"/>
  <c r="L37" i="14"/>
  <c r="M76" i="13"/>
  <c r="G76" i="13"/>
  <c r="M52" i="13"/>
  <c r="G52" i="13"/>
  <c r="M87" i="13"/>
  <c r="G87" i="13"/>
  <c r="M48" i="13"/>
  <c r="G48" i="13"/>
  <c r="M63" i="13"/>
  <c r="G63" i="13"/>
  <c r="M69" i="13"/>
  <c r="G69" i="13"/>
  <c r="M78" i="13"/>
  <c r="G78" i="13"/>
  <c r="M66" i="13"/>
  <c r="G66" i="13"/>
  <c r="M102" i="13"/>
  <c r="G102" i="13"/>
  <c r="M77" i="13"/>
  <c r="G77" i="13"/>
  <c r="B185" i="3"/>
  <c r="K185" i="3"/>
  <c r="T185" i="3" s="1"/>
  <c r="E185" i="3"/>
  <c r="J185" i="3" s="1"/>
  <c r="S185" i="3" s="1"/>
  <c r="G185" i="3"/>
  <c r="L185" i="3" s="1"/>
  <c r="U185" i="3" s="1"/>
  <c r="K196" i="3"/>
  <c r="T196" i="3" s="1"/>
  <c r="G196" i="3"/>
  <c r="L196" i="3" s="1"/>
  <c r="U196" i="3" s="1"/>
  <c r="E196" i="3"/>
  <c r="J196" i="3" s="1"/>
  <c r="S196" i="3" s="1"/>
  <c r="B196" i="3"/>
  <c r="O10" i="13"/>
  <c r="M105" i="13"/>
  <c r="G105" i="13"/>
  <c r="M75" i="13"/>
  <c r="G75" i="13"/>
  <c r="M89" i="13"/>
  <c r="G89" i="13"/>
  <c r="M92" i="13"/>
  <c r="G92" i="13"/>
  <c r="M60" i="13"/>
  <c r="G60" i="13"/>
  <c r="M79" i="13"/>
  <c r="G79" i="13"/>
  <c r="M90" i="13"/>
  <c r="G90" i="13"/>
  <c r="M46" i="13"/>
  <c r="G46" i="13"/>
  <c r="M42" i="13"/>
  <c r="G42" i="13"/>
  <c r="M93" i="13"/>
  <c r="G93" i="13"/>
  <c r="H26" i="13"/>
  <c r="E186" i="3"/>
  <c r="J186" i="3" s="1"/>
  <c r="S186" i="3" s="1"/>
  <c r="B186" i="3"/>
  <c r="G186" i="3"/>
  <c r="L186" i="3" s="1"/>
  <c r="U186" i="3" s="1"/>
  <c r="K186" i="3"/>
  <c r="T186" i="3" s="1"/>
  <c r="G187" i="3"/>
  <c r="L187" i="3" s="1"/>
  <c r="U187" i="3" s="1"/>
  <c r="E187" i="3"/>
  <c r="J187" i="3" s="1"/>
  <c r="S187" i="3" s="1"/>
  <c r="K187" i="3"/>
  <c r="T187" i="3" s="1"/>
  <c r="B187" i="3"/>
  <c r="K184" i="3"/>
  <c r="T184" i="3" s="1"/>
  <c r="B184" i="3"/>
  <c r="G184" i="3"/>
  <c r="L184" i="3" s="1"/>
  <c r="U184" i="3" s="1"/>
  <c r="E184" i="3"/>
  <c r="J184" i="3" s="1"/>
  <c r="S184" i="3" s="1"/>
  <c r="K200" i="3"/>
  <c r="T200" i="3" s="1"/>
  <c r="B200" i="3"/>
  <c r="G200" i="3"/>
  <c r="L200" i="3" s="1"/>
  <c r="U200" i="3" s="1"/>
  <c r="E200" i="3"/>
  <c r="J200" i="3" s="1"/>
  <c r="S200" i="3" s="1"/>
  <c r="M72" i="13"/>
  <c r="G72" i="13"/>
  <c r="M71" i="13"/>
  <c r="G71" i="13"/>
  <c r="M57" i="13"/>
  <c r="G57" i="13"/>
  <c r="M74" i="13"/>
  <c r="G74" i="13"/>
  <c r="M96" i="13"/>
  <c r="G96" i="13"/>
  <c r="M51" i="13"/>
  <c r="G51" i="13"/>
  <c r="M49" i="13"/>
  <c r="G49" i="13"/>
  <c r="M85" i="13"/>
  <c r="G85" i="13"/>
  <c r="M103" i="13"/>
  <c r="G103" i="13"/>
  <c r="M94" i="13"/>
  <c r="G94" i="13"/>
  <c r="M44" i="13"/>
  <c r="G44" i="13"/>
  <c r="M80" i="13"/>
  <c r="G80" i="13"/>
  <c r="M59" i="13"/>
  <c r="G59" i="13"/>
  <c r="M33" i="13"/>
  <c r="G33" i="13"/>
  <c r="M61" i="13"/>
  <c r="G61" i="13"/>
  <c r="M38" i="13"/>
  <c r="G38" i="13"/>
  <c r="M62" i="13"/>
  <c r="G62" i="13"/>
  <c r="M86" i="13"/>
  <c r="G86" i="13"/>
  <c r="M58" i="13"/>
  <c r="G58" i="13"/>
  <c r="M114" i="13"/>
  <c r="G114" i="13"/>
  <c r="M98" i="13"/>
  <c r="G98" i="13"/>
  <c r="J44" i="14"/>
  <c r="B198" i="3"/>
  <c r="G198" i="3"/>
  <c r="L198" i="3" s="1"/>
  <c r="U198" i="3" s="1"/>
  <c r="E198" i="3"/>
  <c r="J198" i="3" s="1"/>
  <c r="S198" i="3" s="1"/>
  <c r="K198" i="3"/>
  <c r="T198" i="3" s="1"/>
  <c r="G191" i="3"/>
  <c r="L191" i="3" s="1"/>
  <c r="U191" i="3" s="1"/>
  <c r="E191" i="3"/>
  <c r="J191" i="3" s="1"/>
  <c r="S191" i="3" s="1"/>
  <c r="K191" i="3"/>
  <c r="T191" i="3" s="1"/>
  <c r="B191" i="3"/>
  <c r="B193" i="3"/>
  <c r="K193" i="3"/>
  <c r="T193" i="3" s="1"/>
  <c r="E193" i="3"/>
  <c r="J193" i="3" s="1"/>
  <c r="S193" i="3" s="1"/>
  <c r="G193" i="3"/>
  <c r="L193" i="3" s="1"/>
  <c r="U193" i="3" s="1"/>
  <c r="K188" i="3"/>
  <c r="T188" i="3" s="1"/>
  <c r="G188" i="3"/>
  <c r="L188" i="3" s="1"/>
  <c r="U188" i="3" s="1"/>
  <c r="E188" i="3"/>
  <c r="J188" i="3" s="1"/>
  <c r="S188" i="3" s="1"/>
  <c r="B188" i="3"/>
  <c r="O29" i="13"/>
  <c r="H29" i="13"/>
  <c r="M39" i="13"/>
  <c r="G39" i="13"/>
  <c r="M53" i="13"/>
  <c r="G53" i="13"/>
  <c r="M110" i="13"/>
  <c r="G110" i="13"/>
  <c r="M88" i="13"/>
  <c r="G88" i="13"/>
  <c r="M41" i="13"/>
  <c r="G41" i="13"/>
  <c r="M99" i="13"/>
  <c r="G99" i="13"/>
  <c r="M40" i="13"/>
  <c r="G40" i="13"/>
  <c r="M113" i="13"/>
  <c r="G113" i="13"/>
  <c r="M91" i="13"/>
  <c r="G91" i="13"/>
  <c r="M82" i="13"/>
  <c r="G82" i="13"/>
  <c r="E194" i="3"/>
  <c r="J194" i="3" s="1"/>
  <c r="S194" i="3" s="1"/>
  <c r="B194" i="3"/>
  <c r="G194" i="3"/>
  <c r="L194" i="3" s="1"/>
  <c r="U194" i="3" s="1"/>
  <c r="K194" i="3"/>
  <c r="T194" i="3" s="1"/>
  <c r="G195" i="3"/>
  <c r="L195" i="3" s="1"/>
  <c r="U195" i="3" s="1"/>
  <c r="E195" i="3"/>
  <c r="J195" i="3" s="1"/>
  <c r="S195" i="3" s="1"/>
  <c r="K195" i="3"/>
  <c r="T195" i="3" s="1"/>
  <c r="B195" i="3"/>
  <c r="M104" i="13"/>
  <c r="G104" i="13"/>
  <c r="M95" i="13"/>
  <c r="G95" i="13"/>
  <c r="M36" i="13"/>
  <c r="G36" i="13"/>
  <c r="M67" i="13"/>
  <c r="G67" i="13"/>
  <c r="M32" i="13"/>
  <c r="G32" i="13"/>
  <c r="G47" i="13"/>
  <c r="M47" i="13"/>
  <c r="M37" i="13"/>
  <c r="G37" i="13"/>
  <c r="M65" i="13"/>
  <c r="G65" i="13"/>
  <c r="M107" i="13"/>
  <c r="G107" i="13"/>
  <c r="M50" i="13"/>
  <c r="G50" i="13"/>
  <c r="M109" i="13"/>
  <c r="G109" i="13"/>
  <c r="B189" i="3"/>
  <c r="K189" i="3"/>
  <c r="T189" i="3" s="1"/>
  <c r="G189" i="3"/>
  <c r="L189" i="3" s="1"/>
  <c r="U189" i="3" s="1"/>
  <c r="E189" i="3"/>
  <c r="J189" i="3" s="1"/>
  <c r="S189" i="3" s="1"/>
  <c r="K40" i="14"/>
  <c r="K39" i="14"/>
  <c r="M108" i="13"/>
  <c r="G108" i="13"/>
  <c r="M55" i="13"/>
  <c r="G55" i="13"/>
  <c r="M68" i="13"/>
  <c r="G68" i="13"/>
  <c r="M101" i="13"/>
  <c r="G101" i="13"/>
  <c r="M100" i="13"/>
  <c r="G100" i="13"/>
  <c r="M35" i="13"/>
  <c r="G35" i="13"/>
  <c r="M64" i="13"/>
  <c r="G64" i="13"/>
  <c r="M45" i="13"/>
  <c r="G45" i="13"/>
  <c r="M83" i="13"/>
  <c r="G83" i="13"/>
  <c r="M73" i="13"/>
  <c r="G73" i="13"/>
  <c r="M106" i="13"/>
  <c r="G106" i="13"/>
  <c r="M84" i="13"/>
  <c r="G84" i="13"/>
  <c r="M43" i="13"/>
  <c r="G43" i="13"/>
  <c r="M56" i="13"/>
  <c r="G56" i="13"/>
  <c r="M34" i="13"/>
  <c r="G34" i="13"/>
  <c r="M70" i="13"/>
  <c r="G70" i="13"/>
  <c r="M81" i="13"/>
  <c r="G81" i="13"/>
  <c r="M54" i="13"/>
  <c r="G54" i="13"/>
  <c r="M97" i="13"/>
  <c r="G97" i="13"/>
  <c r="M111" i="13"/>
  <c r="G111" i="13"/>
  <c r="M112" i="13"/>
  <c r="G112" i="13"/>
  <c r="O24" i="13"/>
  <c r="H24" i="13"/>
  <c r="B190" i="3"/>
  <c r="G190" i="3"/>
  <c r="L190" i="3" s="1"/>
  <c r="U190" i="3" s="1"/>
  <c r="E190" i="3"/>
  <c r="J190" i="3" s="1"/>
  <c r="S190" i="3" s="1"/>
  <c r="K190" i="3"/>
  <c r="T190" i="3" s="1"/>
  <c r="G199" i="3"/>
  <c r="L199" i="3" s="1"/>
  <c r="U199" i="3" s="1"/>
  <c r="E199" i="3"/>
  <c r="J199" i="3" s="1"/>
  <c r="S199" i="3" s="1"/>
  <c r="K199" i="3"/>
  <c r="T199" i="3" s="1"/>
  <c r="B199" i="3"/>
  <c r="B197" i="3"/>
  <c r="K197" i="3"/>
  <c r="T197" i="3" s="1"/>
  <c r="G197" i="3"/>
  <c r="L197" i="3" s="1"/>
  <c r="U197" i="3" s="1"/>
  <c r="E197" i="3"/>
  <c r="J197" i="3" s="1"/>
  <c r="S197" i="3" s="1"/>
  <c r="K192" i="3"/>
  <c r="T192" i="3" s="1"/>
  <c r="B192" i="3"/>
  <c r="G192" i="3"/>
  <c r="L192" i="3" s="1"/>
  <c r="U192" i="3" s="1"/>
  <c r="E192" i="3"/>
  <c r="J192" i="3" s="1"/>
  <c r="S192" i="3" s="1"/>
  <c r="H30" i="13" l="1"/>
  <c r="L30" i="13" s="1"/>
  <c r="O27" i="13"/>
  <c r="O23" i="13"/>
  <c r="O25" i="13"/>
  <c r="H11" i="13"/>
  <c r="I11" i="13" s="1"/>
  <c r="N11" i="13" s="1"/>
  <c r="O19" i="13"/>
  <c r="O21" i="13"/>
  <c r="O12" i="13"/>
  <c r="H20" i="13"/>
  <c r="I20" i="13" s="1"/>
  <c r="N20" i="13" s="1"/>
  <c r="O31" i="13"/>
  <c r="H15" i="13"/>
  <c r="L15" i="13" s="1"/>
  <c r="H16" i="13"/>
  <c r="L16" i="13" s="1"/>
  <c r="H28" i="13"/>
  <c r="L28" i="13" s="1"/>
  <c r="H14" i="13"/>
  <c r="I14" i="13" s="1"/>
  <c r="N14" i="13" s="1"/>
  <c r="O18" i="13"/>
  <c r="H22" i="13"/>
  <c r="L22" i="13" s="1"/>
  <c r="H17" i="13"/>
  <c r="L17" i="13" s="1"/>
  <c r="O13" i="13"/>
  <c r="N4" i="13"/>
  <c r="O47" i="13"/>
  <c r="H47" i="13"/>
  <c r="O114" i="13"/>
  <c r="H114" i="13"/>
  <c r="O38" i="13"/>
  <c r="H38" i="13"/>
  <c r="O94" i="13"/>
  <c r="H94" i="13"/>
  <c r="O112" i="13"/>
  <c r="H112" i="13"/>
  <c r="O81" i="13"/>
  <c r="H81" i="13"/>
  <c r="O43" i="13"/>
  <c r="H43" i="13"/>
  <c r="O64" i="13"/>
  <c r="H64" i="13"/>
  <c r="O109" i="13"/>
  <c r="H109" i="13"/>
  <c r="O32" i="13"/>
  <c r="H32" i="13"/>
  <c r="I21" i="13"/>
  <c r="N21" i="13" s="1"/>
  <c r="L21" i="13"/>
  <c r="O40" i="13"/>
  <c r="H40" i="13"/>
  <c r="O41" i="13"/>
  <c r="H41" i="13"/>
  <c r="H39" i="13"/>
  <c r="O39" i="13"/>
  <c r="I29" i="13"/>
  <c r="N29" i="13" s="1"/>
  <c r="L29" i="13"/>
  <c r="O90" i="13"/>
  <c r="H90" i="13"/>
  <c r="O89" i="13"/>
  <c r="H89" i="13"/>
  <c r="O105" i="13"/>
  <c r="H105" i="13"/>
  <c r="O102" i="13"/>
  <c r="H102" i="13"/>
  <c r="M37" i="14"/>
  <c r="N35" i="14"/>
  <c r="M36" i="14"/>
  <c r="L23" i="13"/>
  <c r="I23" i="13"/>
  <c r="N23" i="13" s="1"/>
  <c r="L24" i="13"/>
  <c r="I24" i="13"/>
  <c r="N24" i="13" s="1"/>
  <c r="I13" i="13"/>
  <c r="N13" i="13" s="1"/>
  <c r="L13" i="13"/>
  <c r="O111" i="13"/>
  <c r="H111" i="13"/>
  <c r="O54" i="13"/>
  <c r="H54" i="13"/>
  <c r="O70" i="13"/>
  <c r="H70" i="13"/>
  <c r="O56" i="13"/>
  <c r="H56" i="13"/>
  <c r="O84" i="13"/>
  <c r="H84" i="13"/>
  <c r="O73" i="13"/>
  <c r="H73" i="13"/>
  <c r="O45" i="13"/>
  <c r="H45" i="13"/>
  <c r="H35" i="13"/>
  <c r="O35" i="13"/>
  <c r="O101" i="13"/>
  <c r="H101" i="13"/>
  <c r="O55" i="13"/>
  <c r="H55" i="13"/>
  <c r="K44" i="14"/>
  <c r="L12" i="13"/>
  <c r="I12" i="13"/>
  <c r="N12" i="13" s="1"/>
  <c r="O50" i="13"/>
  <c r="H50" i="13"/>
  <c r="O65" i="13"/>
  <c r="H65" i="13"/>
  <c r="H67" i="13"/>
  <c r="O67" i="13"/>
  <c r="H95" i="13"/>
  <c r="O95" i="13"/>
  <c r="L19" i="13"/>
  <c r="I19" i="13"/>
  <c r="N19" i="13" s="1"/>
  <c r="O82" i="13"/>
  <c r="H82" i="13"/>
  <c r="O113" i="13"/>
  <c r="H113" i="13"/>
  <c r="H99" i="13"/>
  <c r="O99" i="13"/>
  <c r="H88" i="13"/>
  <c r="O88" i="13"/>
  <c r="O53" i="13"/>
  <c r="H53" i="13"/>
  <c r="I26" i="13"/>
  <c r="N26" i="13" s="1"/>
  <c r="L26" i="13"/>
  <c r="O93" i="13"/>
  <c r="H93" i="13"/>
  <c r="O46" i="13"/>
  <c r="H46" i="13"/>
  <c r="H79" i="13"/>
  <c r="O79" i="13"/>
  <c r="O92" i="13"/>
  <c r="H92" i="13"/>
  <c r="O75" i="13"/>
  <c r="H75" i="13"/>
  <c r="L10" i="13"/>
  <c r="I10" i="13"/>
  <c r="O77" i="13"/>
  <c r="H77" i="13"/>
  <c r="O66" i="13"/>
  <c r="H66" i="13"/>
  <c r="O69" i="13"/>
  <c r="H69" i="13"/>
  <c r="O48" i="13"/>
  <c r="H48" i="13"/>
  <c r="O52" i="13"/>
  <c r="H52" i="13"/>
  <c r="L39" i="14"/>
  <c r="L40" i="14"/>
  <c r="L18" i="13"/>
  <c r="I18" i="13"/>
  <c r="N18" i="13" s="1"/>
  <c r="O86" i="13"/>
  <c r="H86" i="13"/>
  <c r="O33" i="13"/>
  <c r="H33" i="13"/>
  <c r="O80" i="13"/>
  <c r="H80" i="13"/>
  <c r="O85" i="13"/>
  <c r="H85" i="13"/>
  <c r="H51" i="13"/>
  <c r="O51" i="13"/>
  <c r="O74" i="13"/>
  <c r="H74" i="13"/>
  <c r="H71" i="13"/>
  <c r="O71" i="13"/>
  <c r="O97" i="13"/>
  <c r="H97" i="13"/>
  <c r="O34" i="13"/>
  <c r="H34" i="13"/>
  <c r="O106" i="13"/>
  <c r="H106" i="13"/>
  <c r="O83" i="13"/>
  <c r="H83" i="13"/>
  <c r="H100" i="13"/>
  <c r="O100" i="13"/>
  <c r="O68" i="13"/>
  <c r="H68" i="13"/>
  <c r="O108" i="13"/>
  <c r="H108" i="13"/>
  <c r="I25" i="13"/>
  <c r="N25" i="13" s="1"/>
  <c r="L25" i="13"/>
  <c r="O107" i="13"/>
  <c r="H107" i="13"/>
  <c r="O37" i="13"/>
  <c r="H37" i="13"/>
  <c r="O36" i="13"/>
  <c r="H36" i="13"/>
  <c r="O104" i="13"/>
  <c r="H104" i="13"/>
  <c r="L27" i="13"/>
  <c r="I27" i="13"/>
  <c r="N27" i="13" s="1"/>
  <c r="O91" i="13"/>
  <c r="H91" i="13"/>
  <c r="O110" i="13"/>
  <c r="H110" i="13"/>
  <c r="O42" i="13"/>
  <c r="H42" i="13"/>
  <c r="O60" i="13"/>
  <c r="H60" i="13"/>
  <c r="O78" i="13"/>
  <c r="H78" i="13"/>
  <c r="H63" i="13"/>
  <c r="O63" i="13"/>
  <c r="H87" i="13"/>
  <c r="O87" i="13"/>
  <c r="O76" i="13"/>
  <c r="H76" i="13"/>
  <c r="L31" i="13"/>
  <c r="I31" i="13"/>
  <c r="N31" i="13" s="1"/>
  <c r="O98" i="13"/>
  <c r="H98" i="13"/>
  <c r="O58" i="13"/>
  <c r="H58" i="13"/>
  <c r="O62" i="13"/>
  <c r="H62" i="13"/>
  <c r="O61" i="13"/>
  <c r="H61" i="13"/>
  <c r="O59" i="13"/>
  <c r="H59" i="13"/>
  <c r="H44" i="13"/>
  <c r="O44" i="13"/>
  <c r="H103" i="13"/>
  <c r="O103" i="13"/>
  <c r="O49" i="13"/>
  <c r="H49" i="13"/>
  <c r="O96" i="13"/>
  <c r="H96" i="13"/>
  <c r="O57" i="13"/>
  <c r="H57" i="13"/>
  <c r="H72" i="13"/>
  <c r="O72" i="13"/>
  <c r="I30" i="13" l="1"/>
  <c r="N30" i="13" s="1"/>
  <c r="L11" i="13"/>
  <c r="L20" i="13"/>
  <c r="I15" i="13"/>
  <c r="N15" i="13" s="1"/>
  <c r="I16" i="13"/>
  <c r="N16" i="13" s="1"/>
  <c r="I28" i="13"/>
  <c r="N28" i="13" s="1"/>
  <c r="L14" i="13"/>
  <c r="I22" i="13"/>
  <c r="N22" i="13" s="1"/>
  <c r="I17" i="13"/>
  <c r="N17" i="13" s="1"/>
  <c r="Q4" i="13"/>
  <c r="F59" i="3" s="1"/>
  <c r="I57" i="13"/>
  <c r="N57" i="13" s="1"/>
  <c r="L57" i="13"/>
  <c r="L49" i="13"/>
  <c r="I49" i="13"/>
  <c r="N49" i="13" s="1"/>
  <c r="I61" i="13"/>
  <c r="N61" i="13" s="1"/>
  <c r="L61" i="13"/>
  <c r="I58" i="13"/>
  <c r="N58" i="13" s="1"/>
  <c r="L58" i="13"/>
  <c r="L76" i="13"/>
  <c r="I76" i="13"/>
  <c r="N76" i="13" s="1"/>
  <c r="L42" i="13"/>
  <c r="I42" i="13"/>
  <c r="N42" i="13" s="1"/>
  <c r="I110" i="13"/>
  <c r="N110" i="13" s="1"/>
  <c r="L110" i="13"/>
  <c r="L36" i="13"/>
  <c r="I36" i="13"/>
  <c r="N36" i="13" s="1"/>
  <c r="L107" i="13"/>
  <c r="I107" i="13"/>
  <c r="N107" i="13" s="1"/>
  <c r="L108" i="13"/>
  <c r="I108" i="13"/>
  <c r="N108" i="13" s="1"/>
  <c r="L106" i="13"/>
  <c r="I106" i="13"/>
  <c r="N106" i="13" s="1"/>
  <c r="L97" i="13"/>
  <c r="I97" i="13"/>
  <c r="N97" i="13" s="1"/>
  <c r="L80" i="13"/>
  <c r="I80" i="13"/>
  <c r="N80" i="13" s="1"/>
  <c r="L86" i="13"/>
  <c r="I86" i="13"/>
  <c r="N86" i="13" s="1"/>
  <c r="L52" i="13"/>
  <c r="I52" i="13"/>
  <c r="N52" i="13" s="1"/>
  <c r="I69" i="13"/>
  <c r="N69" i="13" s="1"/>
  <c r="L69" i="13"/>
  <c r="I77" i="13"/>
  <c r="N77" i="13" s="1"/>
  <c r="L77" i="13"/>
  <c r="L75" i="13"/>
  <c r="I75" i="13"/>
  <c r="N75" i="13" s="1"/>
  <c r="I93" i="13"/>
  <c r="N93" i="13" s="1"/>
  <c r="L93" i="13"/>
  <c r="I53" i="13"/>
  <c r="N53" i="13" s="1"/>
  <c r="L53" i="13"/>
  <c r="L82" i="13"/>
  <c r="I82" i="13"/>
  <c r="N82" i="13" s="1"/>
  <c r="L50" i="13"/>
  <c r="I50" i="13"/>
  <c r="N50" i="13" s="1"/>
  <c r="M39" i="14"/>
  <c r="M40" i="14"/>
  <c r="L38" i="13"/>
  <c r="I38" i="13"/>
  <c r="N38" i="13" s="1"/>
  <c r="L44" i="13"/>
  <c r="I44" i="13"/>
  <c r="N44" i="13" s="1"/>
  <c r="L63" i="13"/>
  <c r="I63" i="13"/>
  <c r="N63" i="13" s="1"/>
  <c r="L100" i="13"/>
  <c r="I100" i="13"/>
  <c r="N100" i="13" s="1"/>
  <c r="L71" i="13"/>
  <c r="I71" i="13"/>
  <c r="N71" i="13" s="1"/>
  <c r="L51" i="13"/>
  <c r="I51" i="13"/>
  <c r="N51" i="13" s="1"/>
  <c r="L79" i="13"/>
  <c r="I79" i="13"/>
  <c r="N79" i="13" s="1"/>
  <c r="I99" i="13"/>
  <c r="N99" i="13" s="1"/>
  <c r="L99" i="13"/>
  <c r="I67" i="13"/>
  <c r="N67" i="13" s="1"/>
  <c r="L67" i="13"/>
  <c r="L55" i="13"/>
  <c r="I55" i="13"/>
  <c r="N55" i="13" s="1"/>
  <c r="I73" i="13"/>
  <c r="N73" i="13" s="1"/>
  <c r="L73" i="13"/>
  <c r="L56" i="13"/>
  <c r="I56" i="13"/>
  <c r="N56" i="13" s="1"/>
  <c r="L54" i="13"/>
  <c r="I54" i="13"/>
  <c r="N54" i="13" s="1"/>
  <c r="L102" i="13"/>
  <c r="I102" i="13"/>
  <c r="N102" i="13" s="1"/>
  <c r="I89" i="13"/>
  <c r="N89" i="13" s="1"/>
  <c r="L89" i="13"/>
  <c r="L40" i="13"/>
  <c r="I40" i="13"/>
  <c r="N40" i="13" s="1"/>
  <c r="L32" i="13"/>
  <c r="I32" i="13"/>
  <c r="N32" i="13" s="1"/>
  <c r="L64" i="13"/>
  <c r="I64" i="13"/>
  <c r="N64" i="13" s="1"/>
  <c r="L81" i="13"/>
  <c r="I81" i="13"/>
  <c r="N81" i="13" s="1"/>
  <c r="L96" i="13"/>
  <c r="I96" i="13"/>
  <c r="N96" i="13" s="1"/>
  <c r="L59" i="13"/>
  <c r="I59" i="13"/>
  <c r="N59" i="13" s="1"/>
  <c r="L62" i="13"/>
  <c r="I62" i="13"/>
  <c r="N62" i="13" s="1"/>
  <c r="L98" i="13"/>
  <c r="I98" i="13"/>
  <c r="N98" i="13" s="1"/>
  <c r="I78" i="13"/>
  <c r="N78" i="13" s="1"/>
  <c r="L78" i="13"/>
  <c r="L60" i="13"/>
  <c r="I60" i="13"/>
  <c r="N60" i="13" s="1"/>
  <c r="L91" i="13"/>
  <c r="I91" i="13"/>
  <c r="N91" i="13" s="1"/>
  <c r="L104" i="13"/>
  <c r="I104" i="13"/>
  <c r="N104" i="13" s="1"/>
  <c r="I37" i="13"/>
  <c r="N37" i="13" s="1"/>
  <c r="L37" i="13"/>
  <c r="L68" i="13"/>
  <c r="I68" i="13"/>
  <c r="N68" i="13" s="1"/>
  <c r="L83" i="13"/>
  <c r="I83" i="13"/>
  <c r="N83" i="13" s="1"/>
  <c r="L34" i="13"/>
  <c r="I34" i="13"/>
  <c r="N34" i="13" s="1"/>
  <c r="L74" i="13"/>
  <c r="I74" i="13"/>
  <c r="N74" i="13" s="1"/>
  <c r="I85" i="13"/>
  <c r="N85" i="13" s="1"/>
  <c r="L85" i="13"/>
  <c r="L33" i="13"/>
  <c r="I33" i="13"/>
  <c r="N33" i="13" s="1"/>
  <c r="L48" i="13"/>
  <c r="I48" i="13"/>
  <c r="N48" i="13" s="1"/>
  <c r="L66" i="13"/>
  <c r="I66" i="13"/>
  <c r="N66" i="13" s="1"/>
  <c r="N10" i="13"/>
  <c r="J10" i="13"/>
  <c r="L92" i="13"/>
  <c r="I92" i="13"/>
  <c r="N92" i="13" s="1"/>
  <c r="I46" i="13"/>
  <c r="N46" i="13" s="1"/>
  <c r="L46" i="13"/>
  <c r="L113" i="13"/>
  <c r="I113" i="13"/>
  <c r="N113" i="13" s="1"/>
  <c r="L65" i="13"/>
  <c r="I65" i="13"/>
  <c r="N65" i="13" s="1"/>
  <c r="I35" i="13"/>
  <c r="N35" i="13" s="1"/>
  <c r="L35" i="13"/>
  <c r="L39" i="13"/>
  <c r="I39" i="13"/>
  <c r="N39" i="13" s="1"/>
  <c r="L94" i="13"/>
  <c r="I94" i="13"/>
  <c r="N94" i="13" s="1"/>
  <c r="L114" i="13"/>
  <c r="I114" i="13"/>
  <c r="N114" i="13" s="1"/>
  <c r="L47" i="13"/>
  <c r="I47" i="13"/>
  <c r="N47" i="13" s="1"/>
  <c r="L72" i="13"/>
  <c r="I72" i="13"/>
  <c r="N72" i="13" s="1"/>
  <c r="L103" i="13"/>
  <c r="I103" i="13"/>
  <c r="N103" i="13" s="1"/>
  <c r="L87" i="13"/>
  <c r="I87" i="13"/>
  <c r="N87" i="13" s="1"/>
  <c r="L44" i="14"/>
  <c r="L88" i="13"/>
  <c r="I88" i="13"/>
  <c r="N88" i="13" s="1"/>
  <c r="L95" i="13"/>
  <c r="I95" i="13"/>
  <c r="N95" i="13" s="1"/>
  <c r="I101" i="13"/>
  <c r="N101" i="13" s="1"/>
  <c r="L101" i="13"/>
  <c r="I45" i="13"/>
  <c r="N45" i="13" s="1"/>
  <c r="L45" i="13"/>
  <c r="L84" i="13"/>
  <c r="I84" i="13"/>
  <c r="N84" i="13" s="1"/>
  <c r="L70" i="13"/>
  <c r="I70" i="13"/>
  <c r="N70" i="13" s="1"/>
  <c r="L111" i="13"/>
  <c r="I111" i="13"/>
  <c r="N111" i="13" s="1"/>
  <c r="N37" i="14"/>
  <c r="O35" i="14"/>
  <c r="N36" i="14"/>
  <c r="I105" i="13"/>
  <c r="N105" i="13" s="1"/>
  <c r="L105" i="13"/>
  <c r="L90" i="13"/>
  <c r="I90" i="13"/>
  <c r="N90" i="13" s="1"/>
  <c r="I41" i="13"/>
  <c r="N41" i="13" s="1"/>
  <c r="L41" i="13"/>
  <c r="I109" i="13"/>
  <c r="N109" i="13" s="1"/>
  <c r="L109" i="13"/>
  <c r="L43" i="13"/>
  <c r="I43" i="13"/>
  <c r="N43" i="13" s="1"/>
  <c r="L112" i="13"/>
  <c r="I112" i="13"/>
  <c r="N112" i="13" s="1"/>
  <c r="M44" i="14" l="1"/>
  <c r="O2" i="13"/>
  <c r="F57" i="1" s="1"/>
  <c r="K10" i="13"/>
  <c r="J11" i="13"/>
  <c r="O37" i="14"/>
  <c r="O36" i="14"/>
  <c r="P35" i="14"/>
  <c r="N5" i="13"/>
  <c r="F58" i="3" s="1"/>
  <c r="E22" i="14" s="1"/>
  <c r="N40" i="14"/>
  <c r="N39" i="14"/>
  <c r="E38" i="14" l="1"/>
  <c r="F60" i="3"/>
  <c r="H8" i="7" s="1"/>
  <c r="H10" i="7" s="1"/>
  <c r="O40" i="14"/>
  <c r="O39" i="14"/>
  <c r="K11" i="13"/>
  <c r="J12" i="13"/>
  <c r="N44" i="14"/>
  <c r="P37" i="14"/>
  <c r="P36" i="14"/>
  <c r="Q35" i="14"/>
  <c r="H11" i="7" l="1"/>
  <c r="H14" i="7" s="1"/>
  <c r="H12" i="7"/>
  <c r="H13" i="7" s="1"/>
  <c r="H15" i="7" s="1"/>
  <c r="O44" i="14"/>
  <c r="P39" i="14"/>
  <c r="P40" i="14"/>
  <c r="Q37" i="14"/>
  <c r="R35" i="14"/>
  <c r="Q36" i="14"/>
  <c r="Q38" i="14" s="1"/>
  <c r="K12" i="13"/>
  <c r="J13" i="13"/>
  <c r="G38" i="14"/>
  <c r="G45" i="14" s="1"/>
  <c r="M38" i="14"/>
  <c r="M45" i="14" s="1"/>
  <c r="H38" i="14"/>
  <c r="H45" i="14" s="1"/>
  <c r="K38" i="14"/>
  <c r="K45" i="14" s="1"/>
  <c r="L38" i="14"/>
  <c r="L45" i="14" s="1"/>
  <c r="E45" i="14"/>
  <c r="J38" i="14"/>
  <c r="J45" i="14" s="1"/>
  <c r="J47" i="14" s="1"/>
  <c r="N38" i="14"/>
  <c r="N45" i="14" s="1"/>
  <c r="F38" i="14"/>
  <c r="F45" i="14" s="1"/>
  <c r="P38" i="14"/>
  <c r="O38" i="14"/>
  <c r="I38" i="14"/>
  <c r="I45" i="14" s="1"/>
  <c r="H19" i="7" l="1"/>
  <c r="H18" i="7" s="1"/>
  <c r="H20" i="7" s="1"/>
  <c r="H22" i="7" s="1"/>
  <c r="H28" i="7" s="1"/>
  <c r="O45" i="14"/>
  <c r="O47" i="14" s="1"/>
  <c r="J48" i="14"/>
  <c r="J50" i="14" s="1"/>
  <c r="H47" i="14"/>
  <c r="H48" i="14"/>
  <c r="G47" i="14"/>
  <c r="G48" i="14"/>
  <c r="J14" i="13"/>
  <c r="K13" i="13"/>
  <c r="R37" i="14"/>
  <c r="S35" i="14"/>
  <c r="R36" i="14"/>
  <c r="R38" i="14" s="1"/>
  <c r="E47" i="14"/>
  <c r="E48" i="14"/>
  <c r="M47" i="14"/>
  <c r="M48" i="14"/>
  <c r="Q39" i="14"/>
  <c r="Q40" i="14"/>
  <c r="F48" i="14"/>
  <c r="F47" i="14"/>
  <c r="N47" i="14"/>
  <c r="N48" i="14"/>
  <c r="L47" i="14"/>
  <c r="L48" i="14"/>
  <c r="I47" i="14"/>
  <c r="I48" i="14"/>
  <c r="K47" i="14"/>
  <c r="K48" i="14"/>
  <c r="P44" i="14"/>
  <c r="P45" i="14" s="1"/>
  <c r="O48" i="14" l="1"/>
  <c r="O50" i="14" s="1"/>
  <c r="O51" i="14" s="1"/>
  <c r="O52" i="14" s="1"/>
  <c r="O54" i="14" s="1"/>
  <c r="F61" i="3"/>
  <c r="F62" i="3" s="1"/>
  <c r="F70" i="1" s="1"/>
  <c r="F50" i="14"/>
  <c r="F51" i="14" s="1"/>
  <c r="F52" i="14" s="1"/>
  <c r="F54" i="14" s="1"/>
  <c r="J51" i="14"/>
  <c r="J52" i="14" s="1"/>
  <c r="J54" i="14" s="1"/>
  <c r="P47" i="14"/>
  <c r="P48" i="14"/>
  <c r="I50" i="14"/>
  <c r="I51" i="14" s="1"/>
  <c r="I52" i="14" s="1"/>
  <c r="I54" i="14" s="1"/>
  <c r="N50" i="14"/>
  <c r="N51" i="14" s="1"/>
  <c r="N52" i="14" s="1"/>
  <c r="N54" i="14" s="1"/>
  <c r="Q44" i="14"/>
  <c r="Q45" i="14" s="1"/>
  <c r="M50" i="14"/>
  <c r="M51" i="14" s="1"/>
  <c r="M52" i="14" s="1"/>
  <c r="M54" i="14" s="1"/>
  <c r="R40" i="14"/>
  <c r="R39" i="14"/>
  <c r="G50" i="14"/>
  <c r="G51" i="14" s="1"/>
  <c r="G52" i="14" s="1"/>
  <c r="G54" i="14" s="1"/>
  <c r="K50" i="14"/>
  <c r="K51" i="14" s="1"/>
  <c r="K52" i="14" s="1"/>
  <c r="K54" i="14" s="1"/>
  <c r="L50" i="14"/>
  <c r="L51" i="14" s="1"/>
  <c r="L52" i="14" s="1"/>
  <c r="L54" i="14" s="1"/>
  <c r="E50" i="14"/>
  <c r="E51" i="14" s="1"/>
  <c r="E52" i="14" s="1"/>
  <c r="E54" i="14" s="1"/>
  <c r="E55" i="14" s="1"/>
  <c r="E58" i="14" s="1"/>
  <c r="S37" i="14"/>
  <c r="S36" i="14"/>
  <c r="S38" i="14" s="1"/>
  <c r="T35" i="14"/>
  <c r="K14" i="13"/>
  <c r="J15" i="13"/>
  <c r="H50" i="14"/>
  <c r="H51" i="14" s="1"/>
  <c r="H52" i="14" s="1"/>
  <c r="H54" i="14" s="1"/>
  <c r="R44" i="14" l="1"/>
  <c r="R45" i="14" s="1"/>
  <c r="R47" i="14" s="1"/>
  <c r="J56" i="14"/>
  <c r="J59" i="14" s="1"/>
  <c r="J55" i="14"/>
  <c r="J58" i="14" s="1"/>
  <c r="F56" i="14"/>
  <c r="F59" i="14" s="1"/>
  <c r="H56" i="14"/>
  <c r="H59" i="14" s="1"/>
  <c r="H55" i="14"/>
  <c r="H58" i="14" s="1"/>
  <c r="T37" i="14"/>
  <c r="T36" i="14"/>
  <c r="T38" i="14" s="1"/>
  <c r="U35" i="14"/>
  <c r="L55" i="14"/>
  <c r="L58" i="14" s="1"/>
  <c r="L56" i="14"/>
  <c r="L59" i="14" s="1"/>
  <c r="M56" i="14"/>
  <c r="M59" i="14" s="1"/>
  <c r="M55" i="14"/>
  <c r="M58" i="14" s="1"/>
  <c r="K15" i="13"/>
  <c r="J16" i="13"/>
  <c r="K55" i="14"/>
  <c r="K58" i="14" s="1"/>
  <c r="K56" i="14"/>
  <c r="K59" i="14" s="1"/>
  <c r="G56" i="14"/>
  <c r="G59" i="14" s="1"/>
  <c r="G55" i="14"/>
  <c r="G58" i="14" s="1"/>
  <c r="Q47" i="14"/>
  <c r="Q48" i="14"/>
  <c r="S40" i="14"/>
  <c r="S39" i="14"/>
  <c r="N55" i="14"/>
  <c r="N58" i="14" s="1"/>
  <c r="N56" i="14"/>
  <c r="N59" i="14" s="1"/>
  <c r="O55" i="14"/>
  <c r="O58" i="14" s="1"/>
  <c r="F55" i="14"/>
  <c r="F58" i="14" s="1"/>
  <c r="I55" i="14"/>
  <c r="I58" i="14" s="1"/>
  <c r="I56" i="14"/>
  <c r="I59" i="14" s="1"/>
  <c r="P50" i="14"/>
  <c r="P51" i="14" s="1"/>
  <c r="P52" i="14" s="1"/>
  <c r="P54" i="14" s="1"/>
  <c r="O56" i="14" s="1"/>
  <c r="O59" i="14" s="1"/>
  <c r="S44" i="14" l="1"/>
  <c r="S45" i="14" s="1"/>
  <c r="S47" i="14" s="1"/>
  <c r="R48" i="14"/>
  <c r="R50" i="14" s="1"/>
  <c r="R51" i="14" s="1"/>
  <c r="R52" i="14" s="1"/>
  <c r="R54" i="14" s="1"/>
  <c r="Q50" i="14"/>
  <c r="Q51" i="14" s="1"/>
  <c r="Q52" i="14" s="1"/>
  <c r="Q54" i="14" s="1"/>
  <c r="T40" i="14"/>
  <c r="T39" i="14"/>
  <c r="U37" i="14"/>
  <c r="V35" i="14"/>
  <c r="U36" i="14"/>
  <c r="U38" i="14" s="1"/>
  <c r="P55" i="14"/>
  <c r="P58" i="14" s="1"/>
  <c r="K16" i="13"/>
  <c r="J17" i="13"/>
  <c r="S48" i="14" l="1"/>
  <c r="S50" i="14" s="1"/>
  <c r="S51" i="14" s="1"/>
  <c r="S52" i="14" s="1"/>
  <c r="S54" i="14" s="1"/>
  <c r="R55" i="14"/>
  <c r="R58" i="14" s="1"/>
  <c r="Q55" i="14"/>
  <c r="Q58" i="14" s="1"/>
  <c r="P56" i="14"/>
  <c r="P59" i="14" s="1"/>
  <c r="Q56" i="14"/>
  <c r="Q59" i="14" s="1"/>
  <c r="V37" i="14"/>
  <c r="W35" i="14"/>
  <c r="V36" i="14"/>
  <c r="V38" i="14" s="1"/>
  <c r="U39" i="14"/>
  <c r="U40" i="14"/>
  <c r="K17" i="13"/>
  <c r="J18" i="13"/>
  <c r="T44" i="14"/>
  <c r="T45" i="14" s="1"/>
  <c r="W37" i="14" l="1"/>
  <c r="W36" i="14"/>
  <c r="W38" i="14" s="1"/>
  <c r="X35" i="14"/>
  <c r="S55" i="14"/>
  <c r="S58" i="14" s="1"/>
  <c r="R56" i="14"/>
  <c r="R59" i="14" s="1"/>
  <c r="T47" i="14"/>
  <c r="T48" i="14"/>
  <c r="U44" i="14"/>
  <c r="U45" i="14" s="1"/>
  <c r="V40" i="14"/>
  <c r="V39" i="14"/>
  <c r="K18" i="13"/>
  <c r="J19" i="13"/>
  <c r="V44" i="14" l="1"/>
  <c r="V45" i="14" s="1"/>
  <c r="V48" i="14" s="1"/>
  <c r="T50" i="14"/>
  <c r="T51" i="14" s="1"/>
  <c r="T52" i="14" s="1"/>
  <c r="T54" i="14" s="1"/>
  <c r="S56" i="14" s="1"/>
  <c r="S59" i="14" s="1"/>
  <c r="X37" i="14"/>
  <c r="X36" i="14"/>
  <c r="X38" i="14" s="1"/>
  <c r="K19" i="13"/>
  <c r="J20" i="13"/>
  <c r="U47" i="14"/>
  <c r="U48" i="14"/>
  <c r="W39" i="14"/>
  <c r="W40" i="14"/>
  <c r="V47" i="14" l="1"/>
  <c r="V50" i="14" s="1"/>
  <c r="V51" i="14" s="1"/>
  <c r="V52" i="14" s="1"/>
  <c r="V54" i="14" s="1"/>
  <c r="T55" i="14"/>
  <c r="T58" i="14" s="1"/>
  <c r="W44" i="14"/>
  <c r="W45" i="14" s="1"/>
  <c r="U50" i="14"/>
  <c r="U51" i="14" s="1"/>
  <c r="U52" i="14" s="1"/>
  <c r="U54" i="14" s="1"/>
  <c r="K20" i="13"/>
  <c r="J21" i="13"/>
  <c r="X40" i="14"/>
  <c r="X39" i="14"/>
  <c r="X44" i="14" l="1"/>
  <c r="X45" i="14" s="1"/>
  <c r="X47" i="14" s="1"/>
  <c r="V55" i="14"/>
  <c r="V58" i="14" s="1"/>
  <c r="U55" i="14"/>
  <c r="U58" i="14" s="1"/>
  <c r="U56" i="14"/>
  <c r="U59" i="14" s="1"/>
  <c r="T56" i="14"/>
  <c r="T59" i="14" s="1"/>
  <c r="J22" i="13"/>
  <c r="K21" i="13"/>
  <c r="W47" i="14"/>
  <c r="W48" i="14"/>
  <c r="W50" i="14" l="1"/>
  <c r="W51" i="14" s="1"/>
  <c r="W52" i="14" s="1"/>
  <c r="W54" i="14" s="1"/>
  <c r="X48" i="14"/>
  <c r="X50" i="14" s="1"/>
  <c r="X51" i="14" s="1"/>
  <c r="X52" i="14" s="1"/>
  <c r="X54" i="14" s="1"/>
  <c r="K22" i="13"/>
  <c r="J23" i="13"/>
  <c r="X56" i="14" l="1"/>
  <c r="X59" i="14" s="1"/>
  <c r="X55" i="14"/>
  <c r="X58" i="14" s="1"/>
  <c r="W56" i="14"/>
  <c r="W59" i="14" s="1"/>
  <c r="W55" i="14"/>
  <c r="W58" i="14" s="1"/>
  <c r="V56" i="14"/>
  <c r="V59" i="14" s="1"/>
  <c r="K23" i="13"/>
  <c r="J24" i="13"/>
  <c r="J25" i="13" l="1"/>
  <c r="K24" i="13"/>
  <c r="I28" i="14"/>
  <c r="J28" i="14" s="1"/>
  <c r="F64" i="1" s="1"/>
  <c r="I29" i="14"/>
  <c r="J29" i="14" s="1"/>
  <c r="F65" i="1" s="1"/>
  <c r="K25" i="13" l="1"/>
  <c r="J26" i="13"/>
  <c r="K26" i="13" l="1"/>
  <c r="J27" i="13"/>
  <c r="K27" i="13" l="1"/>
  <c r="J28" i="13"/>
  <c r="K28" i="13" l="1"/>
  <c r="J29" i="13"/>
  <c r="J30" i="13" l="1"/>
  <c r="K29" i="13"/>
  <c r="K30" i="13" l="1"/>
  <c r="J31" i="13"/>
  <c r="K31" i="13" l="1"/>
  <c r="J32" i="13"/>
  <c r="K32" i="13" l="1"/>
  <c r="J33" i="13"/>
  <c r="K33" i="13" l="1"/>
  <c r="J34" i="13"/>
  <c r="K34" i="13" l="1"/>
  <c r="J35" i="13"/>
  <c r="K35" i="13" l="1"/>
  <c r="J36" i="13"/>
  <c r="K36" i="13" l="1"/>
  <c r="J37" i="13"/>
  <c r="K37" i="13" l="1"/>
  <c r="J38" i="13"/>
  <c r="K38" i="13" l="1"/>
  <c r="J39" i="13"/>
  <c r="K39" i="13" l="1"/>
  <c r="J40" i="13"/>
  <c r="J41" i="13" l="1"/>
  <c r="K40" i="13"/>
  <c r="K41" i="13" l="1"/>
  <c r="J42" i="13"/>
  <c r="K42" i="13" l="1"/>
  <c r="J43" i="13"/>
  <c r="K43" i="13" l="1"/>
  <c r="J44" i="13"/>
  <c r="K44" i="13" l="1"/>
  <c r="J45" i="13"/>
  <c r="J46" i="13" l="1"/>
  <c r="K45" i="13"/>
  <c r="K46" i="13" l="1"/>
  <c r="J47" i="13"/>
  <c r="K47" i="13" l="1"/>
  <c r="J48" i="13"/>
  <c r="K48" i="13" l="1"/>
  <c r="J49" i="13"/>
  <c r="J50" i="13" l="1"/>
  <c r="K49" i="13"/>
  <c r="K50" i="13" l="1"/>
  <c r="J51" i="13"/>
  <c r="K51" i="13" l="1"/>
  <c r="J52" i="13"/>
  <c r="K52" i="13" l="1"/>
  <c r="J53" i="13"/>
  <c r="K53" i="13" l="1"/>
  <c r="J54" i="13"/>
  <c r="K54" i="13" l="1"/>
  <c r="J55" i="13"/>
  <c r="K55" i="13" l="1"/>
  <c r="J56" i="13"/>
  <c r="J57" i="13" l="1"/>
  <c r="K56" i="13"/>
  <c r="J58" i="13" l="1"/>
  <c r="K57" i="13"/>
  <c r="K58" i="13" l="1"/>
  <c r="J59" i="13"/>
  <c r="K59" i="13" l="1"/>
  <c r="J60" i="13"/>
  <c r="K60" i="13" l="1"/>
  <c r="J61" i="13"/>
  <c r="J62" i="13" l="1"/>
  <c r="K61" i="13"/>
  <c r="K62" i="13" l="1"/>
  <c r="J63" i="13"/>
  <c r="K63" i="13" l="1"/>
  <c r="J64" i="13"/>
  <c r="J65" i="13" l="1"/>
  <c r="K64" i="13"/>
  <c r="K65" i="13" l="1"/>
  <c r="J66" i="13"/>
  <c r="K66" i="13" l="1"/>
  <c r="J67" i="13"/>
  <c r="K67" i="13" l="1"/>
  <c r="J68" i="13"/>
  <c r="K68" i="13" l="1"/>
  <c r="J69" i="13"/>
  <c r="K69" i="13" l="1"/>
  <c r="J70" i="13"/>
  <c r="K70" i="13" l="1"/>
  <c r="J71" i="13"/>
  <c r="K71" i="13" l="1"/>
  <c r="J72" i="13"/>
  <c r="J73" i="13" l="1"/>
  <c r="K72" i="13"/>
  <c r="J74" i="13" l="1"/>
  <c r="K73" i="13"/>
  <c r="K74" i="13" l="1"/>
  <c r="J75" i="13"/>
  <c r="K75" i="13" l="1"/>
  <c r="J76" i="13"/>
  <c r="K76" i="13" l="1"/>
  <c r="J77" i="13"/>
  <c r="K77" i="13" l="1"/>
  <c r="J78" i="13"/>
  <c r="K78" i="13" l="1"/>
  <c r="J79" i="13"/>
  <c r="K79" i="13" l="1"/>
  <c r="J80" i="13"/>
  <c r="K80" i="13" l="1"/>
  <c r="J81" i="13"/>
  <c r="J82" i="13" l="1"/>
  <c r="K81" i="13"/>
  <c r="K82" i="13" l="1"/>
  <c r="J83" i="13"/>
  <c r="K83" i="13" l="1"/>
  <c r="J84" i="13"/>
  <c r="K84" i="13" l="1"/>
  <c r="J85" i="13"/>
  <c r="J86" i="13" l="1"/>
  <c r="K85" i="13"/>
  <c r="K86" i="13" l="1"/>
  <c r="J87" i="13"/>
  <c r="K87" i="13" l="1"/>
  <c r="J88" i="13"/>
  <c r="K88" i="13" l="1"/>
  <c r="J89" i="13"/>
  <c r="K89" i="13" l="1"/>
  <c r="J90" i="13"/>
  <c r="K90" i="13" l="1"/>
  <c r="J91" i="13"/>
  <c r="K91" i="13" l="1"/>
  <c r="J92" i="13"/>
  <c r="K92" i="13" l="1"/>
  <c r="J93" i="13"/>
  <c r="J94" i="13" l="1"/>
  <c r="K93" i="13"/>
  <c r="K94" i="13" l="1"/>
  <c r="J95" i="13"/>
  <c r="K95" i="13" l="1"/>
  <c r="J96" i="13"/>
  <c r="J97" i="13" l="1"/>
  <c r="K96" i="13"/>
  <c r="K97" i="13" l="1"/>
  <c r="J98" i="13"/>
  <c r="K98" i="13" l="1"/>
  <c r="J99" i="13"/>
  <c r="K99" i="13" l="1"/>
  <c r="J100" i="13"/>
  <c r="K100" i="13" l="1"/>
  <c r="J101" i="13"/>
  <c r="K101" i="13" l="1"/>
  <c r="J102" i="13"/>
  <c r="K102" i="13" l="1"/>
  <c r="J103" i="13"/>
  <c r="K103" i="13" l="1"/>
  <c r="J104" i="13"/>
  <c r="J105" i="13" l="1"/>
  <c r="K104" i="13"/>
  <c r="J106" i="13" l="1"/>
  <c r="K105" i="13"/>
  <c r="K106" i="13" l="1"/>
  <c r="J107" i="13"/>
  <c r="K107" i="13" l="1"/>
  <c r="J108" i="13"/>
  <c r="K108" i="13" l="1"/>
  <c r="J109" i="13"/>
  <c r="K109" i="13" l="1"/>
  <c r="J110" i="13"/>
  <c r="K110" i="13" l="1"/>
  <c r="J111" i="13"/>
  <c r="K111" i="13" l="1"/>
  <c r="J112" i="13"/>
  <c r="K112" i="13" l="1"/>
  <c r="J113" i="13"/>
  <c r="J114" i="13" l="1"/>
  <c r="K113" i="13"/>
  <c r="K114" i="13" l="1"/>
  <c r="K115" i="13" s="1"/>
  <c r="M2" i="13"/>
  <c r="K116" i="1" s="1"/>
  <c r="F44" i="3" l="1"/>
  <c r="F46" i="3" s="1"/>
  <c r="F56" i="1"/>
  <c r="F47" i="3" l="1"/>
  <c r="F59" i="1" s="1"/>
  <c r="F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bdemsc</author>
    <author>a0272042</author>
    <author>Alex Triano</author>
  </authors>
  <commentList>
    <comment ref="F14" authorId="0" shapeId="0" xr:uid="{00000000-0006-0000-0100-000001000000}">
      <text>
        <r>
          <rPr>
            <b/>
            <sz val="8"/>
            <color indexed="81"/>
            <rFont val="Tahoma"/>
            <family val="2"/>
          </rPr>
          <t>The minimum system voltage must be no less than 10V.</t>
        </r>
      </text>
    </comment>
    <comment ref="F16" authorId="0" shapeId="0" xr:uid="{00000000-0006-0000-0100-000002000000}">
      <text>
        <r>
          <rPr>
            <b/>
            <sz val="8"/>
            <color indexed="81"/>
            <rFont val="Tahoma"/>
            <family val="2"/>
          </rPr>
          <t>The maximum system voltage must be no greater than 80V.</t>
        </r>
      </text>
    </comment>
    <comment ref="F18"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0" authorId="1" shapeId="0" xr:uid="{00000000-0006-0000-0100-000004000000}">
      <text>
        <r>
          <rPr>
            <b/>
            <sz val="8"/>
            <color indexed="81"/>
            <rFont val="Tahoma"/>
            <family val="2"/>
          </rPr>
          <t>Select either 26mV or 50mV current limit.
26mV will result in less power loss in the Rs resistor.</t>
        </r>
      </text>
    </comment>
    <comment ref="F22" authorId="2" shapeId="0" xr:uid="{00000000-0006-0000-0100-000005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23" authorId="0" shapeId="0" xr:uid="{00000000-0006-0000-0100-000006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24" authorId="2" shapeId="0" xr:uid="{00000000-0006-0000-0100-000007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29" authorId="2" shapeId="0" xr:uid="{00000000-0006-0000-0100-000008000000}">
      <text>
        <r>
          <rPr>
            <b/>
            <sz val="9"/>
            <color indexed="81"/>
            <rFont val="Tahoma"/>
            <family val="2"/>
          </rPr>
          <t xml:space="preserve">Ensure that the minimum current limit is above maximum load current. </t>
        </r>
      </text>
    </comment>
    <comment ref="F32" authorId="0" shapeId="0" xr:uid="{00000000-0006-0000-0100-000009000000}">
      <text>
        <r>
          <rPr>
            <b/>
            <sz val="8"/>
            <color indexed="81"/>
            <rFont val="Tahoma"/>
            <family val="2"/>
          </rPr>
          <t>The power dissipation is calculated using the maximum normal load current.
Ensure the selected resistor is rated for this power dissipation.</t>
        </r>
      </text>
    </comment>
    <comment ref="F36" authorId="2" shapeId="0" xr:uid="{00000000-0006-0000-0100-00000A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46" authorId="2" shapeId="0" xr:uid="{00000000-0006-0000-0100-00000B000000}">
      <text>
        <r>
          <rPr>
            <sz val="9"/>
            <color indexed="81"/>
            <rFont val="Tahoma"/>
            <family val="2"/>
          </rPr>
          <t xml:space="preserve">If FET temperature is too high, increase the # of FETs, reduce the load, or reduce the RθJA by adding more heat sinking to MOSFETs. 
</t>
        </r>
      </text>
    </comment>
    <comment ref="F48" authorId="2" shapeId="0" xr:uid="{00000000-0006-0000-0100-00000C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51" authorId="2" shapeId="0" xr:uid="{00000000-0006-0000-0100-00000D000000}">
      <text>
        <r>
          <rPr>
            <sz val="9"/>
            <color indexed="81"/>
            <rFont val="Tahoma"/>
            <family val="2"/>
          </rPr>
          <t xml:space="preserve">Cell turns Red if the actual power limit is below Minimum Power Limit (cell F47)
</t>
        </r>
      </text>
    </comment>
    <comment ref="F53" authorId="1" shapeId="0" xr:uid="{00000000-0006-0000-0100-00000E000000}">
      <text>
        <r>
          <rPr>
            <b/>
            <sz val="8"/>
            <color indexed="81"/>
            <rFont val="Tahoma"/>
            <family val="2"/>
          </rPr>
          <t>Select if the load will draw current during start-up. 
For no Load, choose constant current and set to zero</t>
        </r>
      </text>
    </comment>
    <comment ref="F55" authorId="1" shapeId="0" xr:uid="{00000000-0006-0000-0100-00000F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57" authorId="2" shapeId="0" xr:uid="{00000000-0006-0000-0100-000010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58" authorId="0" shapeId="0" xr:uid="{00000000-0006-0000-0100-000011000000}">
      <text>
        <r>
          <rPr>
            <b/>
            <sz val="8"/>
            <color indexed="81"/>
            <rFont val="Tahoma"/>
            <family val="2"/>
          </rPr>
          <t xml:space="preserve">To ensure start-up the fault time out must be longer than the start-up time. It is recommended to choose a fault timer that is larger than the typical start-time to account for variations in Plim, timer current, and timer capacitance. </t>
        </r>
      </text>
    </comment>
    <comment ref="F60" authorId="2" shapeId="0" xr:uid="{00000000-0006-0000-0100-000012000000}">
      <text>
        <r>
          <rPr>
            <b/>
            <sz val="9"/>
            <color indexed="81"/>
            <rFont val="Tahoma"/>
            <family val="2"/>
          </rPr>
          <t>Pick closest capacitor that is larger than the Target capacitance</t>
        </r>
        <r>
          <rPr>
            <sz val="9"/>
            <color indexed="81"/>
            <rFont val="Tahoma"/>
            <family val="2"/>
          </rPr>
          <t xml:space="preserve">
</t>
        </r>
      </text>
    </comment>
    <comment ref="F62" authorId="2" shapeId="0" xr:uid="{00000000-0006-0000-0100-000013000000}">
      <text>
        <r>
          <rPr>
            <sz val="9"/>
            <color indexed="81"/>
            <rFont val="Tahoma"/>
            <family val="2"/>
          </rPr>
          <t>A ratio over 1.1 is required and over 1.3 is preferred.  This will account for variation in Power limit and timer
If the margin is poor with a PLIM based start-up, switch to soft start (cell F55)</t>
        </r>
      </text>
    </comment>
    <comment ref="F63" authorId="1" shapeId="0" xr:uid="{00000000-0006-0000-0100-000014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64" authorId="2" shapeId="0" xr:uid="{00000000-0006-0000-0100-000015000000}">
      <text>
        <r>
          <rPr>
            <b/>
            <sz val="9"/>
            <color indexed="81"/>
            <rFont val="Tahoma"/>
            <family val="2"/>
          </rPr>
          <t xml:space="preserve">If these cells are red, there is no suitable slew rate for keeping FET whithin SOA. 
Reduce load at start-up or pick FET with better SOA. </t>
        </r>
      </text>
    </comment>
    <comment ref="F65" authorId="2" shapeId="0" xr:uid="{00000000-0006-0000-0100-000016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66" authorId="2" shapeId="0" xr:uid="{00000000-0006-0000-0100-000017000000}">
      <text>
        <r>
          <rPr>
            <b/>
            <sz val="9"/>
            <color indexed="81"/>
            <rFont val="Tahoma"/>
            <family val="2"/>
          </rPr>
          <t>Ensure that this is lower than max ss slew rate in the cell above</t>
        </r>
        <r>
          <rPr>
            <sz val="9"/>
            <color indexed="81"/>
            <rFont val="Tahoma"/>
            <family val="2"/>
          </rPr>
          <t xml:space="preserve">
</t>
        </r>
      </text>
    </comment>
    <comment ref="F69" authorId="2" shapeId="0" xr:uid="{00000000-0006-0000-0100-000018000000}">
      <text>
        <r>
          <rPr>
            <b/>
            <sz val="9"/>
            <color indexed="81"/>
            <rFont val="Tahoma"/>
            <family val="2"/>
          </rPr>
          <t>Ensure that this is lower than max ss slew rate.</t>
        </r>
      </text>
    </comment>
    <comment ref="F70" authorId="2" shapeId="0" xr:uid="{00000000-0006-0000-0100-000019000000}">
      <text>
        <r>
          <rPr>
            <sz val="9"/>
            <color indexed="81"/>
            <rFont val="Tahoma"/>
            <family val="2"/>
          </rPr>
          <t>A margin of &gt;1.1 is required and a margin of &gt;1.5 is recommended to accout for the variation in the gate current. 
Reduce dv/dt rate to reduce inrush current and increase SOA margin</t>
        </r>
      </text>
    </comment>
    <comment ref="F75" authorId="2" shapeId="0" xr:uid="{00000000-0006-0000-0100-00001A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77" authorId="0" shapeId="0" xr:uid="{00000000-0006-0000-0100-00001B000000}">
      <text>
        <r>
          <rPr>
            <b/>
            <sz val="8"/>
            <color indexed="81"/>
            <rFont val="Tahoma"/>
            <family val="2"/>
          </rPr>
          <t>This calculation applies only when the RETRY option is selected.</t>
        </r>
      </text>
    </comment>
    <comment ref="F78" authorId="1" shapeId="0" xr:uid="{00000000-0006-0000-0100-00001C000000}">
      <text>
        <r>
          <rPr>
            <b/>
            <sz val="8"/>
            <color indexed="81"/>
            <rFont val="Tahoma"/>
            <family val="2"/>
          </rPr>
          <t>See the schematics above to select the appropriate option for setting the input voltage UVLO and OVLO thresholds.</t>
        </r>
      </text>
    </comment>
    <comment ref="F79" authorId="0" shapeId="0" xr:uid="{00000000-0006-0000-0100-00001D000000}">
      <text>
        <r>
          <rPr>
            <b/>
            <sz val="8"/>
            <color indexed="81"/>
            <rFont val="Tahoma"/>
            <family val="2"/>
          </rPr>
          <t>This threshold must be between 10V and 80V.</t>
        </r>
      </text>
    </comment>
    <comment ref="F80" authorId="0" shapeId="0" xr:uid="{00000000-0006-0000-0100-00001E000000}">
      <text>
        <r>
          <rPr>
            <b/>
            <sz val="8"/>
            <color indexed="81"/>
            <rFont val="Tahoma"/>
            <family val="2"/>
          </rPr>
          <t>This threshold must be greater than 10V, and less than the upper UVLO threshold.</t>
        </r>
      </text>
    </comment>
    <comment ref="F81" authorId="0" shapeId="0" xr:uid="{00000000-0006-0000-0100-00001F000000}">
      <text>
        <r>
          <rPr>
            <b/>
            <sz val="8"/>
            <color indexed="81"/>
            <rFont val="Tahoma"/>
            <family val="2"/>
          </rPr>
          <t>This threshold must be greater than the upper UVLO Threshold, and less than 80V.</t>
        </r>
      </text>
    </comment>
    <comment ref="F127" authorId="2" shapeId="0" xr:uid="{00000000-0006-0000-0100-000020000000}">
      <text>
        <r>
          <rPr>
            <sz val="9"/>
            <color indexed="81"/>
            <rFont val="Tahoma"/>
            <family val="2"/>
          </rPr>
          <t xml:space="preserve">TI recommended. Same as EVM
</t>
        </r>
      </text>
    </comment>
    <comment ref="F130" authorId="3" shapeId="0" xr:uid="{00000000-0006-0000-0100-000021000000}">
      <text>
        <r>
          <rPr>
            <sz val="9"/>
            <color indexed="81"/>
            <rFont val="Tahoma"/>
            <family val="2"/>
          </rPr>
          <t xml:space="preserve">TI recommended. Same as EVM
</t>
        </r>
      </text>
    </comment>
    <comment ref="F132" authorId="2" shapeId="0" xr:uid="{00000000-0006-0000-0100-000022000000}">
      <text>
        <r>
          <rPr>
            <sz val="9"/>
            <color indexed="81"/>
            <rFont val="Tahoma"/>
            <family val="2"/>
          </rPr>
          <t xml:space="preserve">TI recomends the SMDJxx TVS, which are used on the EVM. 
Pick the proper value based on the input voltage. 
</t>
        </r>
      </text>
    </comment>
  </commentList>
</comments>
</file>

<file path=xl/sharedStrings.xml><?xml version="1.0" encoding="utf-8"?>
<sst xmlns="http://schemas.openxmlformats.org/spreadsheetml/2006/main" count="748" uniqueCount="513">
  <si>
    <t>Max Rs =</t>
  </si>
  <si>
    <t>Min. Current limit =</t>
  </si>
  <si>
    <t>Typ. Current limit =</t>
  </si>
  <si>
    <t>Max. Current limit =</t>
  </si>
  <si>
    <t>Rs Power Diss. =</t>
  </si>
  <si>
    <t>Resulting Typical Power Limit =</t>
  </si>
  <si>
    <t>Resulting Minimum Power Limit =</t>
  </si>
  <si>
    <t>Resulting Maximum Power Limit =</t>
  </si>
  <si>
    <t>ms</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</si>
  <si>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</si>
  <si>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</si>
  <si>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</si>
  <si>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</si>
  <si>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</si>
  <si>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</si>
  <si>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</si>
  <si>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</si>
  <si>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</si>
  <si>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</si>
  <si>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</si>
  <si>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</si>
  <si>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</si>
  <si>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</si>
  <si>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</si>
  <si>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</si>
  <si>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</si>
  <si>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</si>
  <si>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</si>
  <si>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</si>
  <si>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</si>
  <si>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</si>
  <si>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</si>
  <si>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</si>
  <si>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</si>
  <si>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</si>
  <si>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</si>
  <si>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</si>
  <si>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</si>
  <si>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</si>
  <si>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</si>
  <si>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</si>
  <si>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</si>
  <si>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</si>
  <si>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</si>
  <si>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</si>
  <si>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</si>
  <si>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</si>
  <si>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</si>
  <si>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</si>
  <si>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</si>
  <si>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</si>
  <si>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</si>
  <si>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</si>
  <si>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</si>
  <si>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</si>
  <si>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</si>
  <si>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</si>
  <si>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</si>
  <si>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</si>
  <si>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</si>
  <si>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</si>
  <si>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</si>
  <si>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</si>
  <si>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</si>
  <si>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</si>
  <si>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</si>
  <si>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</si>
  <si>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</si>
  <si>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</si>
  <si>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</si>
  <si>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</si>
  <si>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</si>
  <si>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</si>
  <si>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</si>
  <si>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</si>
  <si>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</si>
  <si>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</si>
  <si>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</si>
  <si>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</si>
  <si>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</si>
  <si>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</si>
  <si>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</si>
  <si>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</si>
  <si>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</si>
  <si>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</si>
  <si>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</si>
  <si>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</si>
  <si>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</si>
  <si>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</si>
  <si>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</si>
  <si>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</si>
  <si>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</si>
  <si>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</si>
  <si>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</si>
  <si>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</si>
  <si>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</si>
  <si>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</si>
  <si>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</si>
  <si>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</si>
  <si>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</si>
  <si>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</si>
  <si>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</si>
  <si>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</si>
  <si>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</si>
  <si>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</si>
  <si>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</si>
  <si>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</si>
  <si>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</si>
  <si>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</si>
  <si>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</si>
  <si>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</si>
  <si>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</si>
  <si>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</si>
  <si>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</si>
  <si>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Enter the Resistance for R</t>
    </r>
    <r>
      <rPr>
        <vertAlign val="subscript"/>
        <sz val="10"/>
        <rFont val="Arial"/>
        <family val="2"/>
      </rPr>
      <t>PG</t>
    </r>
  </si>
  <si>
    <t>Desired PGD Rising Threshold</t>
  </si>
  <si>
    <t>Desired PGD Hysteresis</t>
  </si>
  <si>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</si>
  <si>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</si>
  <si>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</si>
  <si>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</si>
  <si>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</si>
  <si>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</si>
  <si>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</si>
  <si>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</si>
  <si>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</si>
  <si>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</si>
  <si>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</si>
  <si>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</si>
  <si>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</si>
  <si>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</si>
  <si>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</si>
  <si>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</si>
  <si>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</si>
  <si>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</si>
  <si>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</si>
  <si>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</si>
  <si>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</si>
  <si>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</si>
  <si>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</si>
  <si>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</si>
  <si>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</si>
  <si>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</si>
  <si>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</si>
  <si>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</si>
  <si>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</si>
  <si>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</si>
  <si>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</si>
  <si>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</si>
  <si>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</si>
  <si>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</si>
  <si>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</si>
  <si>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</si>
  <si>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</si>
  <si>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</si>
  <si>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</si>
  <si>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</si>
  <si>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</si>
  <si>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</si>
  <si>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GND</t>
  </si>
  <si>
    <t>Threshold Voltage CL = VDD</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</si>
  <si>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</si>
  <si>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</si>
  <si>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</si>
  <si>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</si>
  <si>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</si>
  <si>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</si>
  <si>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</si>
  <si>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</si>
  <si>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</si>
  <si>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</si>
  <si>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</si>
  <si>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</si>
  <si>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</si>
  <si>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</si>
  <si>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</si>
  <si>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</si>
  <si>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</si>
  <si>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</si>
  <si>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</si>
  <si>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</si>
  <si>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</si>
  <si>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</si>
  <si>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</si>
  <si>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</si>
  <si>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</si>
  <si>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</si>
  <si>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</si>
  <si>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</si>
  <si>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</si>
  <si>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</si>
  <si>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</si>
  <si>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</si>
  <si>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</si>
  <si>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</si>
  <si>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</si>
  <si>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</si>
  <si>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</si>
  <si>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</si>
  <si>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</si>
  <si>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</si>
  <si>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</si>
  <si>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</si>
  <si>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</si>
  <si>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</si>
  <si>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</si>
  <si>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</si>
  <si>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</si>
  <si>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</si>
  <si>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</si>
  <si>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</si>
  <si>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</si>
  <si>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</si>
  <si>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</si>
  <si>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</si>
  <si>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</si>
  <si>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C</t>
    </r>
    <r>
      <rPr>
        <vertAlign val="subscript"/>
        <sz val="10"/>
        <rFont val="Arial"/>
        <family val="2"/>
      </rPr>
      <t>VDD</t>
    </r>
    <r>
      <rPr>
        <sz val="10"/>
        <rFont val="Arial"/>
        <family val="2"/>
      </rPr>
      <t xml:space="preserve"> =</t>
    </r>
  </si>
  <si>
    <r>
      <t>C</t>
    </r>
    <r>
      <rPr>
        <vertAlign val="subscript"/>
        <sz val="10"/>
        <rFont val="Arial"/>
        <family val="2"/>
      </rPr>
      <t>VREF</t>
    </r>
    <r>
      <rPr>
        <sz val="10"/>
        <rFont val="Arial"/>
        <family val="2"/>
      </rPr>
      <t xml:space="preserve"> =</t>
    </r>
  </si>
  <si>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</si>
  <si>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</si>
  <si>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</si>
  <si>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</si>
  <si>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</si>
  <si>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</si>
  <si>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</si>
  <si>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</si>
  <si>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</si>
  <si>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</si>
  <si>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</si>
  <si>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</si>
  <si>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PGD Hystersis</t>
  </si>
  <si>
    <t>PGD Threshold</t>
  </si>
  <si>
    <t>100us</t>
  </si>
  <si>
    <t>Step 2: Current Limit and Circuit Breaker</t>
  </si>
  <si>
    <t>Circuit Breaker to Current Limit Raitio</t>
  </si>
  <si>
    <r>
      <t>Maximum Output Load Capacitance: C</t>
    </r>
    <r>
      <rPr>
        <vertAlign val="subscript"/>
        <sz val="10"/>
        <rFont val="Arial"/>
        <family val="2"/>
      </rPr>
      <t>LOAD</t>
    </r>
  </si>
  <si>
    <t>Connect CB Pin to</t>
  </si>
  <si>
    <t>Connect CL Pin to</t>
  </si>
  <si>
    <t>Nominal PGD Rising Threhold</t>
  </si>
  <si>
    <t>Nominal PGD Hysteresis</t>
  </si>
  <si>
    <t>Connect /Retry to</t>
  </si>
  <si>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</si>
  <si>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</si>
  <si>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</si>
  <si>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</si>
  <si>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</si>
  <si>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</si>
  <si>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</si>
  <si>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</si>
  <si>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</si>
  <si>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</si>
  <si>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</si>
  <si>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</si>
  <si>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</si>
  <si>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</si>
  <si>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</si>
  <si>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</si>
  <si>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</si>
  <si>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</si>
  <si>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</si>
  <si>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</si>
  <si>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</si>
  <si>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</si>
  <si>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</si>
  <si>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</si>
  <si>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</si>
  <si>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</si>
  <si>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</si>
  <si>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</si>
  <si>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Estimated MOSFET R</t>
    </r>
    <r>
      <rPr>
        <sz val="10"/>
        <rFont val="Symbol"/>
        <family val="1"/>
        <charset val="2"/>
      </rPr>
      <t>Q</t>
    </r>
    <r>
      <rPr>
        <vertAlign val="subscript"/>
        <sz val="10"/>
        <rFont val="Arial"/>
        <family val="2"/>
      </rPr>
      <t>JA</t>
    </r>
  </si>
  <si>
    <t>Values Used</t>
  </si>
  <si>
    <t xml:space="preserve"> </t>
  </si>
  <si>
    <t>Current Limit Range (CL)</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</si>
  <si>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</si>
  <si>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</si>
  <si>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</si>
  <si>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</si>
  <si>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</si>
  <si>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</si>
  <si>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</si>
  <si>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</si>
  <si>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</si>
  <si>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</si>
  <si>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</si>
  <si>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</si>
  <si>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</si>
  <si>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</si>
  <si>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</si>
  <si>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</si>
  <si>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</si>
  <si>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</si>
  <si>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</si>
  <si>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</si>
  <si>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</si>
  <si>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</si>
  <si>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</si>
  <si>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</si>
  <si>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</si>
  <si>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</si>
  <si>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</si>
  <si>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</si>
  <si>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</si>
  <si>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</si>
  <si>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</si>
  <si>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</si>
  <si>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</si>
  <si>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</si>
  <si>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</si>
  <si>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</si>
  <si>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</si>
  <si>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</si>
  <si>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</si>
  <si>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</si>
  <si>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</si>
  <si>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</si>
  <si>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</si>
  <si>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</si>
  <si>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</si>
  <si>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</si>
  <si>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</si>
  <si>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</si>
  <si>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</si>
  <si>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</si>
  <si>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</si>
  <si>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</si>
  <si>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</si>
  <si>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</si>
  <si>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</si>
  <si>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</si>
  <si>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</si>
  <si>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</si>
  <si>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</si>
  <si>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</si>
  <si>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</si>
  <si>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</si>
  <si>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</si>
  <si>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</si>
  <si>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</si>
  <si>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</si>
  <si>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</si>
  <si>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</si>
  <si>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</si>
  <si>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</si>
  <si>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</si>
  <si>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</si>
  <si>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</si>
  <si>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</si>
  <si>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</si>
  <si>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</si>
  <si>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</si>
  <si>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</si>
  <si>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</si>
  <si>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</si>
  <si>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</si>
  <si>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</si>
  <si>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</si>
  <si>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</si>
  <si>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</si>
  <si>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</si>
  <si>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</si>
  <si>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</si>
  <si>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</si>
  <si>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</si>
  <si>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</si>
  <si>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</si>
  <si>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</si>
  <si>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</si>
  <si>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</si>
  <si>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</si>
  <si>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r>
      <t>Actual Timer Capacitance ( pick one smaller than C</t>
    </r>
    <r>
      <rPr>
        <vertAlign val="subscript"/>
        <sz val="10"/>
        <rFont val="Arial"/>
        <family val="2"/>
      </rPr>
      <t>T,CALC</t>
    </r>
    <r>
      <rPr>
        <sz val="10"/>
        <rFont val="Arial"/>
        <family val="2"/>
      </rPr>
      <t xml:space="preserve">) </t>
    </r>
  </si>
  <si>
    <t>Available derated SOA for Tfault</t>
  </si>
  <si>
    <t>Actual Fault Time (Tfault)</t>
  </si>
  <si>
    <t>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</si>
  <si>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</si>
  <si>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</si>
  <si>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</si>
  <si>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</si>
  <si>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</si>
  <si>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</si>
  <si>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</si>
  <si>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</si>
  <si>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</si>
  <si>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</si>
  <si>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</si>
  <si>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</si>
  <si>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</si>
  <si>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</si>
  <si>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</si>
  <si>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</si>
  <si>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</si>
  <si>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</si>
  <si>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</si>
  <si>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</si>
  <si>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</si>
  <si>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</si>
  <si>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</si>
  <si>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</si>
  <si>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</si>
  <si>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</si>
  <si>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</si>
  <si>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</si>
  <si>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</si>
  <si>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</si>
  <si>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</si>
  <si>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</si>
  <si>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</si>
  <si>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</si>
  <si>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</si>
  <si>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</si>
  <si>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</si>
  <si>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</si>
  <si>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</si>
  <si>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</si>
  <si>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</si>
  <si>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</si>
  <si>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</si>
  <si>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</si>
  <si>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</si>
  <si>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</si>
  <si>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</si>
  <si>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</si>
  <si>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</si>
  <si>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</si>
  <si>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</si>
  <si>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</si>
  <si>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</si>
  <si>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</si>
  <si>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</si>
  <si>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</si>
  <si>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</si>
  <si>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</si>
  <si>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</si>
  <si>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</si>
  <si>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26 mV</t>
  </si>
  <si>
    <t>50 mV</t>
  </si>
  <si>
    <t>26mV</t>
  </si>
  <si>
    <t>50mV</t>
  </si>
  <si>
    <t>1.9 x Threshold</t>
  </si>
  <si>
    <t>1.9x CB:CL Ratio</t>
  </si>
  <si>
    <t>3.9 x Threshold</t>
  </si>
  <si>
    <t>3.9x CB:CL Ratio</t>
  </si>
  <si>
    <t>1.9 x Current Limit</t>
  </si>
  <si>
    <t>3.9 x Current Limit</t>
  </si>
  <si>
    <t>Plim (Vds) = 1/Rs * [ Rpwr/A + Vds * Vos, syst=</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</si>
  <si>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</si>
  <si>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</si>
  <si>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</si>
  <si>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Option C</t>
  </si>
  <si>
    <t>Option D</t>
  </si>
  <si>
    <t>C</t>
  </si>
  <si>
    <t>D</t>
  </si>
  <si>
    <t>Higher time</t>
  </si>
  <si>
    <r>
      <t>Minimum Power Limit to Ensure Vsns &gt; 4mV (P</t>
    </r>
    <r>
      <rPr>
        <vertAlign val="subscript"/>
        <sz val="10"/>
        <rFont val="Arial"/>
        <family val="2"/>
      </rPr>
      <t>LIM,MIN</t>
    </r>
    <r>
      <rPr>
        <sz val="10"/>
        <rFont val="Arial"/>
        <family val="2"/>
      </rPr>
      <t>)</t>
    </r>
  </si>
  <si>
    <r>
      <t>R</t>
    </r>
    <r>
      <rPr>
        <vertAlign val="subscript"/>
        <sz val="11"/>
        <color theme="1"/>
        <rFont val="Arial"/>
        <family val="2"/>
      </rPr>
      <t>SNS</t>
    </r>
    <r>
      <rPr>
        <sz val="11"/>
        <color theme="1"/>
        <rFont val="Arial"/>
        <family val="2"/>
      </rPr>
      <t xml:space="preserve"> =</t>
    </r>
  </si>
  <si>
    <r>
      <t>C</t>
    </r>
    <r>
      <rPr>
        <vertAlign val="subscript"/>
        <sz val="10"/>
        <rFont val="Arial"/>
        <family val="2"/>
      </rPr>
      <t>TIMER</t>
    </r>
    <r>
      <rPr>
        <sz val="10"/>
        <rFont val="Arial"/>
        <family val="2"/>
      </rPr>
      <t xml:space="preserve"> =</t>
    </r>
  </si>
  <si>
    <t>R5 =</t>
  </si>
  <si>
    <t>R6 =</t>
  </si>
  <si>
    <r>
      <t>C</t>
    </r>
    <r>
      <rPr>
        <vertAlign val="subscript"/>
        <sz val="10"/>
        <rFont val="Arial"/>
        <family val="2"/>
      </rPr>
      <t>dv/dt</t>
    </r>
    <r>
      <rPr>
        <sz val="10"/>
        <rFont val="Arial"/>
        <family val="2"/>
      </rPr>
      <t xml:space="preserve"> =</t>
    </r>
  </si>
  <si>
    <t>Note: If any of the cells above are yellow, then these values are outside of the device's operating range. This will result in the device turning either on or off at its operating limits rather than at the user selected values in yellow.</t>
  </si>
  <si>
    <t>&lt;-- Cannot plot zero on a log graph. If slope ~=0, then use 1e-12 as value</t>
  </si>
  <si>
    <t>Settings</t>
  </si>
  <si>
    <t>Upper bound Slew Rate (4ms start-up) (V/ms)</t>
  </si>
  <si>
    <t>Min Slew Rate (400 ms start - up) (V/ms)</t>
  </si>
  <si>
    <t>D2</t>
  </si>
  <si>
    <t>Q3</t>
  </si>
  <si>
    <t>Recommended Resistance for:  R5</t>
  </si>
  <si>
    <t>R6</t>
  </si>
  <si>
    <t>Enter Resistance for: R5</t>
  </si>
  <si>
    <t>Rpwr =  A * [PLIM(Vds) * Rs - 0.043]</t>
  </si>
  <si>
    <t>Lower time (adjusted)</t>
  </si>
  <si>
    <t>Higher time (adjusted)</t>
  </si>
  <si>
    <r>
      <t>100ms  Current at @ V</t>
    </r>
    <r>
      <rPr>
        <vertAlign val="subscript"/>
        <sz val="10"/>
        <rFont val="Arial"/>
        <family val="2"/>
      </rPr>
      <t>IN(MAX)</t>
    </r>
    <r>
      <rPr>
        <sz val="10"/>
        <rFont val="Arial"/>
        <family val="2"/>
      </rPr>
      <t xml:space="preserve"> (enter 'NA' if not available)</t>
    </r>
  </si>
  <si>
    <r>
      <t>1s or DC SOA Current at @ V</t>
    </r>
    <r>
      <rPr>
        <vertAlign val="subscript"/>
        <sz val="10"/>
        <rFont val="Arial"/>
        <family val="2"/>
      </rPr>
      <t>IN(MAX)</t>
    </r>
    <r>
      <rPr>
        <sz val="10"/>
        <rFont val="Arial"/>
        <family val="2"/>
      </rPr>
      <t xml:space="preserve"> (enter 'NA' if not available)</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</si>
  <si>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</si>
  <si>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</si>
  <si>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</si>
  <si>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</si>
  <si>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</si>
  <si>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</si>
  <si>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</si>
  <si>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</si>
  <si>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</si>
  <si>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</si>
  <si>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</si>
  <si>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4. Select start up conditions (load and/or soft start). Check whether FET is operating with reasonable margin, within the SOA curve.</t>
  </si>
  <si>
    <t>5. Enter desired UVLO and OVLO values to get recommended resistor values.</t>
  </si>
  <si>
    <t>6. Done</t>
  </si>
  <si>
    <t xml:space="preserve">    If not, try changing start-up conditions (soft start values, timer values), add more FETs in parallel, or switch to FET with better SOA.</t>
  </si>
  <si>
    <t>3. Enter MOSTFET SOA characteristics &amp; power limit.</t>
  </si>
  <si>
    <t>2. Select current limit parameters.</t>
  </si>
  <si>
    <t>1. Enter operating conditions.</t>
  </si>
  <si>
    <t>actual typical dv/dt rate on Vout</t>
  </si>
  <si>
    <t>Note: TI recommends choosing a FET with SOA current specified for 100ms and/or 1s or DC. If choosing a FET without these parameters, this calculator will estimate the values via extrapolation, which leaves an inherent associated risk.</t>
  </si>
  <si>
    <t>Note: This is the typical dv/dt rate, but max value can be 2x. This is because the gate source current can vary from 20uA to 40uA. Thus TI recommends keeping the overall SOA margin during start-up &gt;1.5 in order to compensate for this.</t>
  </si>
  <si>
    <t>Z1</t>
  </si>
  <si>
    <t>D1</t>
  </si>
  <si>
    <t>B380-13-F</t>
  </si>
  <si>
    <r>
      <t xml:space="preserve">                         </t>
    </r>
    <r>
      <rPr>
        <sz val="22"/>
        <color theme="0"/>
        <rFont val="Arial"/>
        <family val="2"/>
      </rPr>
      <t>LM5066I PMBus Hot Swap Design Tool</t>
    </r>
  </si>
  <si>
    <t>Q1</t>
  </si>
  <si>
    <t>Q2</t>
  </si>
  <si>
    <t>MMBT3904</t>
  </si>
  <si>
    <t>Q1 FET Name</t>
  </si>
  <si>
    <t>5.0SMDJxx</t>
  </si>
  <si>
    <t>Circuit Breaker Threshold</t>
  </si>
  <si>
    <t xml:space="preserve">CB threshold: </t>
  </si>
  <si>
    <t xml:space="preserve">CB threshold </t>
  </si>
  <si>
    <t>Use External Soft-Start Control (dv/dt)</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</si>
  <si>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</si>
  <si>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LM5066I Design Tool- Rev. B</t>
  </si>
  <si>
    <t>Robust Hot Swap Design</t>
  </si>
  <si>
    <t>LM5066I Datasheet (See "Applications and Implementation")</t>
  </si>
  <si>
    <t>NA</t>
  </si>
  <si>
    <t>csd19536ktt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</si>
</sst>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40"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 fillId="0" borderId="0"/>
  </cellStyleXfs>
  <cellXfs count="327">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8" fillId="2" borderId="0" xfId="0" applyFont="1" applyFill="1" applyAlignment="1">
      <alignment horizontal="left"/>
    </xf>
    <xf numFmtId="14" fontId="8" fillId="2" borderId="0" xfId="0" applyNumberFormat="1" applyFont="1" applyFill="1" applyAlignment="1">
      <alignment horizontal="left"/>
    </xf>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protection locked="0"/>
    </xf>
    <xf numFmtId="0" fontId="0" fillId="2" borderId="0" xfId="0" applyFill="1" applyProtection="1"/>
    <xf numFmtId="0" fontId="1" fillId="0" borderId="0" xfId="0" applyFont="1"/>
    <xf numFmtId="0" fontId="1" fillId="0" borderId="0" xfId="0" applyFont="1" applyAlignment="1">
      <alignment horizontal="right"/>
    </xf>
    <xf numFmtId="0" fontId="1" fillId="2" borderId="0" xfId="0" applyFont="1" applyFill="1" applyBorder="1" applyAlignment="1">
      <alignment horizontal="left"/>
    </xf>
    <xf numFmtId="0" fontId="0" fillId="3" borderId="0" xfId="0" applyFill="1"/>
    <xf numFmtId="0" fontId="1" fillId="2" borderId="0" xfId="0" applyFont="1" applyFill="1" applyBorder="1" applyAlignment="1">
      <alignment horizontal="right"/>
    </xf>
    <xf numFmtId="0" fontId="14" fillId="2" borderId="0" xfId="1" applyFont="1" applyFill="1" applyAlignment="1" applyProtection="1"/>
    <xf numFmtId="0" fontId="15" fillId="3" borderId="0" xfId="0" applyFont="1" applyFill="1" applyProtection="1"/>
    <xf numFmtId="0" fontId="18" fillId="3" borderId="0" xfId="0" applyFont="1" applyFill="1" applyBorder="1" applyProtection="1"/>
    <xf numFmtId="0" fontId="18" fillId="3" borderId="0" xfId="0" applyFont="1" applyFill="1" applyProtection="1"/>
    <xf numFmtId="0" fontId="17" fillId="3" borderId="24" xfId="0" applyFont="1" applyFill="1" applyBorder="1" applyAlignment="1" applyProtection="1">
      <alignment horizontal="center" vertical="center"/>
    </xf>
    <xf numFmtId="0" fontId="19" fillId="2" borderId="0" xfId="0" applyFont="1" applyFill="1"/>
    <xf numFmtId="0" fontId="22" fillId="2" borderId="0" xfId="0" applyFont="1" applyFill="1"/>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2" fontId="0" fillId="3" borderId="1" xfId="0" applyNumberFormat="1" applyFill="1" applyBorder="1" applyAlignment="1" applyProtection="1">
      <alignment horizontal="center"/>
    </xf>
    <xf numFmtId="165" fontId="0" fillId="2" borderId="1" xfId="0" applyNumberFormat="1" applyFill="1" applyBorder="1" applyAlignment="1">
      <alignment horizontal="center" vertical="center"/>
    </xf>
    <xf numFmtId="0" fontId="0" fillId="2" borderId="0" xfId="0" applyFill="1" applyBorder="1" applyAlignment="1">
      <alignment horizontal="right" vertical="center"/>
    </xf>
    <xf numFmtId="0" fontId="1" fillId="2" borderId="0" xfId="0" applyFont="1" applyFill="1" applyBorder="1" applyAlignment="1">
      <alignment horizontal="right"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64" fontId="1" fillId="0" borderId="0" xfId="2" applyNumberFormat="1" applyAlignment="1" applyProtection="1">
      <alignment horizontal="center"/>
    </xf>
    <xf numFmtId="166" fontId="1" fillId="0" borderId="0" xfId="2" applyNumberFormat="1" applyAlignment="1" applyProtection="1">
      <alignment horizontal="center"/>
    </xf>
    <xf numFmtId="2" fontId="1" fillId="0" borderId="25" xfId="2" applyNumberFormat="1" applyBorder="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66" fontId="1" fillId="0" borderId="0" xfId="2" applyNumberFormat="1" applyAlignment="1">
      <alignment horizontal="center"/>
    </xf>
    <xf numFmtId="2" fontId="1" fillId="0" borderId="0" xfId="2" applyNumberFormat="1" applyAlignment="1">
      <alignment horizontal="center"/>
    </xf>
    <xf numFmtId="0" fontId="1" fillId="0" borderId="0" xfId="0" applyFont="1" applyAlignment="1">
      <alignment horizontal="center"/>
    </xf>
    <xf numFmtId="0" fontId="0" fillId="0" borderId="1" xfId="0" applyBorder="1"/>
    <xf numFmtId="0" fontId="0" fillId="0" borderId="0" xfId="0" applyFill="1" applyBorder="1" applyAlignment="1">
      <alignment horizontal="center"/>
    </xf>
    <xf numFmtId="0" fontId="1"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1" fillId="0" borderId="0" xfId="0" applyFont="1" applyBorder="1"/>
    <xf numFmtId="0" fontId="26" fillId="0" borderId="0" xfId="0" applyFont="1"/>
    <xf numFmtId="0" fontId="27" fillId="0" borderId="0" xfId="0" applyFont="1" applyBorder="1" applyAlignment="1">
      <alignment horizontal="center"/>
    </xf>
    <xf numFmtId="2" fontId="0" fillId="0" borderId="0" xfId="0" applyNumberFormat="1" applyBorder="1"/>
    <xf numFmtId="0" fontId="1" fillId="0" borderId="0" xfId="0" applyFont="1" applyBorder="1" applyAlignment="1">
      <alignment horizontal="right"/>
    </xf>
    <xf numFmtId="2" fontId="1" fillId="0" borderId="0" xfId="0" applyNumberFormat="1" applyFont="1" applyBorder="1" applyAlignment="1">
      <alignment horizontal="left"/>
    </xf>
    <xf numFmtId="0" fontId="1" fillId="0" borderId="0" xfId="0" applyFont="1" applyBorder="1" applyAlignment="1">
      <alignment horizontal="center"/>
    </xf>
    <xf numFmtId="0" fontId="0" fillId="2" borderId="24" xfId="0" applyFill="1" applyBorder="1"/>
    <xf numFmtId="0" fontId="1" fillId="2" borderId="24" xfId="0" applyFont="1" applyFill="1" applyBorder="1" applyAlignment="1">
      <alignment horizontal="right" vertical="center"/>
    </xf>
    <xf numFmtId="0" fontId="19"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1" fillId="2" borderId="26" xfId="0" applyFont="1" applyFill="1" applyBorder="1" applyAlignment="1">
      <alignment horizontal="right" vertical="center"/>
    </xf>
    <xf numFmtId="0" fontId="2" fillId="2" borderId="25" xfId="0" applyFont="1" applyFill="1" applyBorder="1"/>
    <xf numFmtId="0" fontId="1" fillId="2" borderId="24" xfId="0" applyFont="1" applyFill="1" applyBorder="1" applyAlignment="1">
      <alignment horizontal="right"/>
    </xf>
    <xf numFmtId="0" fontId="0" fillId="0" borderId="25" xfId="0" applyBorder="1"/>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xf numFmtId="0" fontId="0" fillId="2" borderId="30" xfId="0" applyFill="1" applyBorder="1"/>
    <xf numFmtId="0" fontId="1" fillId="2" borderId="29" xfId="0" applyFont="1" applyFill="1" applyBorder="1"/>
    <xf numFmtId="0" fontId="20" fillId="2" borderId="0" xfId="0" applyFont="1" applyFill="1" applyBorder="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1" fillId="2" borderId="13" xfId="0" applyFont="1" applyFill="1" applyBorder="1" applyAlignment="1">
      <alignment horizontal="right" vertical="center"/>
    </xf>
    <xf numFmtId="0" fontId="1"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1" fillId="2" borderId="7" xfId="0" applyFont="1" applyFill="1" applyBorder="1" applyAlignment="1">
      <alignment horizontal="right"/>
    </xf>
    <xf numFmtId="0" fontId="0" fillId="5" borderId="0" xfId="0" applyFill="1" applyBorder="1"/>
    <xf numFmtId="0" fontId="1" fillId="5" borderId="0" xfId="0" applyFont="1" applyFill="1" applyBorder="1" applyAlignment="1">
      <alignment horizontal="right" vertical="center"/>
    </xf>
    <xf numFmtId="0" fontId="0" fillId="6" borderId="0" xfId="0" applyFill="1" applyBorder="1"/>
    <xf numFmtId="0" fontId="1" fillId="6" borderId="0" xfId="0" applyFont="1" applyFill="1" applyBorder="1" applyAlignment="1">
      <alignment horizontal="right" vertical="center"/>
    </xf>
    <xf numFmtId="1" fontId="1" fillId="2" borderId="1" xfId="0" applyNumberFormat="1" applyFont="1" applyFill="1" applyBorder="1" applyAlignment="1">
      <alignment horizontal="center" vertical="center"/>
    </xf>
    <xf numFmtId="0" fontId="15" fillId="0" borderId="0" xfId="0" applyFont="1" applyFill="1" applyBorder="1" applyProtection="1"/>
    <xf numFmtId="0" fontId="0" fillId="2" borderId="28" xfId="0" applyFill="1" applyBorder="1"/>
    <xf numFmtId="0" fontId="1" fillId="2" borderId="0" xfId="0" applyFont="1" applyFill="1" applyBorder="1"/>
    <xf numFmtId="0" fontId="20" fillId="2" borderId="24" xfId="0" applyFont="1" applyFill="1" applyBorder="1" applyAlignment="1">
      <alignment horizontal="right" vertical="center"/>
    </xf>
    <xf numFmtId="14" fontId="1" fillId="2" borderId="0" xfId="0" applyNumberFormat="1" applyFont="1" applyFill="1" applyBorder="1" applyAlignment="1">
      <alignment horizontal="center"/>
    </xf>
    <xf numFmtId="0" fontId="1" fillId="2" borderId="26" xfId="0" applyFont="1" applyFill="1" applyBorder="1" applyAlignment="1">
      <alignment horizontal="left"/>
    </xf>
    <xf numFmtId="0" fontId="2" fillId="2" borderId="0" xfId="0" applyFont="1" applyFill="1" applyBorder="1"/>
    <xf numFmtId="0" fontId="2" fillId="2" borderId="29" xfId="0" applyFont="1" applyFill="1" applyBorder="1" applyAlignment="1">
      <alignment horizontal="left"/>
    </xf>
    <xf numFmtId="0" fontId="0" fillId="2" borderId="21" xfId="0"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28" fillId="0" borderId="0" xfId="0" applyFont="1"/>
    <xf numFmtId="0" fontId="1" fillId="2" borderId="32" xfId="0" applyFont="1" applyFill="1" applyBorder="1" applyAlignment="1">
      <alignment horizontal="right" vertical="center"/>
    </xf>
    <xf numFmtId="2" fontId="0" fillId="3" borderId="11" xfId="0" applyNumberFormat="1" applyFill="1" applyBorder="1" applyAlignment="1" applyProtection="1">
      <alignment horizontal="center"/>
    </xf>
    <xf numFmtId="165"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0" fontId="0" fillId="3" borderId="1" xfId="0" applyFill="1" applyBorder="1" applyAlignment="1" applyProtection="1">
      <alignment horizontal="center"/>
    </xf>
    <xf numFmtId="1" fontId="1" fillId="2" borderId="0" xfId="0" applyNumberFormat="1" applyFont="1" applyFill="1" applyBorder="1" applyAlignment="1">
      <alignment horizontal="center" vertical="center"/>
    </xf>
    <xf numFmtId="0" fontId="0" fillId="0" borderId="0" xfId="0" applyFill="1"/>
    <xf numFmtId="2" fontId="0" fillId="3" borderId="1" xfId="0" applyNumberFormat="1" applyFill="1" applyBorder="1" applyAlignment="1" applyProtection="1">
      <alignment horizontal="center" vertical="center"/>
    </xf>
    <xf numFmtId="0" fontId="0" fillId="8" borderId="0" xfId="0" applyFill="1" applyBorder="1"/>
    <xf numFmtId="0" fontId="1" fillId="8" borderId="0" xfId="0" applyFont="1" applyFill="1" applyBorder="1" applyAlignment="1">
      <alignment horizontal="right" vertical="center"/>
    </xf>
    <xf numFmtId="0" fontId="22" fillId="7" borderId="23" xfId="0" applyFont="1" applyFill="1" applyBorder="1"/>
    <xf numFmtId="0" fontId="0" fillId="3" borderId="29" xfId="0" applyFill="1" applyBorder="1"/>
    <xf numFmtId="0" fontId="0" fillId="0" borderId="0" xfId="0"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1" fillId="0" borderId="0" xfId="2" applyNumberFormat="1"/>
    <xf numFmtId="0" fontId="25" fillId="0" borderId="0" xfId="2" applyFont="1"/>
    <xf numFmtId="0" fontId="25" fillId="0" borderId="0" xfId="2" applyFont="1" applyAlignment="1" applyProtection="1">
      <alignment horizontal="center"/>
    </xf>
    <xf numFmtId="0" fontId="25" fillId="0" borderId="0" xfId="2" applyFont="1" applyAlignment="1">
      <alignment horizontal="center"/>
    </xf>
    <xf numFmtId="10" fontId="1" fillId="0" borderId="0" xfId="2" applyNumberFormat="1"/>
    <xf numFmtId="0" fontId="0" fillId="0" borderId="0" xfId="0" applyAlignment="1">
      <alignment horizontal="center"/>
    </xf>
    <xf numFmtId="9" fontId="0" fillId="2" borderId="1" xfId="0" applyNumberFormat="1" applyFill="1" applyBorder="1" applyAlignment="1">
      <alignment horizontal="center" vertical="center"/>
    </xf>
    <xf numFmtId="0" fontId="1" fillId="0" borderId="1" xfId="0" applyFont="1" applyFill="1" applyBorder="1" applyAlignment="1">
      <alignment horizontal="center"/>
    </xf>
    <xf numFmtId="0" fontId="1" fillId="0" borderId="6" xfId="0" applyFont="1" applyFill="1" applyBorder="1" applyAlignment="1">
      <alignment horizontal="center"/>
    </xf>
    <xf numFmtId="0" fontId="26" fillId="0" borderId="0" xfId="2" applyFont="1"/>
    <xf numFmtId="165" fontId="0" fillId="0" borderId="1" xfId="0" applyNumberFormat="1" applyFill="1" applyBorder="1" applyAlignment="1" applyProtection="1">
      <alignment horizontal="center" vertical="center"/>
    </xf>
    <xf numFmtId="0" fontId="1" fillId="3" borderId="0" xfId="0" applyFont="1" applyFill="1" applyBorder="1" applyAlignment="1">
      <alignment horizontal="right" vertical="center"/>
    </xf>
    <xf numFmtId="0" fontId="1" fillId="3" borderId="0" xfId="0" applyFont="1" applyFill="1" applyAlignment="1">
      <alignment horizontal="right"/>
    </xf>
    <xf numFmtId="0" fontId="1" fillId="0" borderId="13" xfId="0" applyFont="1" applyBorder="1" applyAlignment="1">
      <alignment horizontal="center"/>
    </xf>
    <xf numFmtId="0" fontId="1" fillId="2" borderId="33"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1" fillId="2" borderId="31" xfId="0" applyFont="1" applyFill="1" applyBorder="1" applyAlignment="1">
      <alignment horizontal="center" vertical="center"/>
    </xf>
    <xf numFmtId="0" fontId="0" fillId="0" borderId="33" xfId="0" applyBorder="1" applyAlignment="1">
      <alignment horizontal="center" vertical="center"/>
    </xf>
    <xf numFmtId="0" fontId="9" fillId="2" borderId="13" xfId="0" applyFont="1" applyFill="1" applyBorder="1" applyAlignment="1">
      <alignment horizontal="center" vertical="center"/>
    </xf>
    <xf numFmtId="0" fontId="0" fillId="2" borderId="33" xfId="0" applyFill="1" applyBorder="1" applyAlignment="1">
      <alignment horizontal="center" vertical="center"/>
    </xf>
    <xf numFmtId="0" fontId="6" fillId="2" borderId="13" xfId="0" applyFont="1" applyFill="1" applyBorder="1" applyAlignment="1">
      <alignment horizontal="center" vertical="center"/>
    </xf>
    <xf numFmtId="0" fontId="0" fillId="2" borderId="34" xfId="0" applyFill="1" applyBorder="1" applyAlignment="1">
      <alignment horizontal="center" vertical="center"/>
    </xf>
    <xf numFmtId="0" fontId="1"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7" xfId="0" applyFill="1" applyBorder="1" applyAlignment="1">
      <alignment horizontal="center"/>
    </xf>
    <xf numFmtId="0" fontId="6" fillId="2" borderId="7" xfId="0" applyFont="1" applyFill="1" applyBorder="1" applyAlignment="1">
      <alignment horizontal="center"/>
    </xf>
    <xf numFmtId="0" fontId="1" fillId="2" borderId="7" xfId="0" applyFont="1" applyFill="1" applyBorder="1" applyAlignment="1">
      <alignment horizontal="center"/>
    </xf>
    <xf numFmtId="0" fontId="6" fillId="2" borderId="24" xfId="0" applyFont="1" applyFill="1" applyBorder="1" applyAlignment="1">
      <alignment horizontal="center" vertical="center"/>
    </xf>
    <xf numFmtId="0" fontId="9"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0" xfId="0" applyFill="1" applyBorder="1" applyAlignment="1">
      <alignment horizontal="center"/>
    </xf>
    <xf numFmtId="0" fontId="0" fillId="2" borderId="26" xfId="0" applyFill="1" applyBorder="1" applyAlignment="1">
      <alignment horizontal="center"/>
    </xf>
    <xf numFmtId="0" fontId="0" fillId="3" borderId="0" xfId="0" applyFill="1" applyAlignment="1">
      <alignment horizontal="center"/>
    </xf>
    <xf numFmtId="0" fontId="1" fillId="0" borderId="0" xfId="0" applyFont="1" applyFill="1" applyBorder="1" applyAlignment="1">
      <alignment horizontal="right"/>
    </xf>
    <xf numFmtId="0" fontId="26"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1" fillId="2" borderId="0" xfId="0" applyFont="1" applyFill="1"/>
    <xf numFmtId="0" fontId="1" fillId="6" borderId="16"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xf>
    <xf numFmtId="0" fontId="0" fillId="0" borderId="11" xfId="0" applyBorder="1"/>
    <xf numFmtId="0" fontId="1" fillId="0" borderId="1" xfId="0" applyFont="1" applyFill="1" applyBorder="1"/>
    <xf numFmtId="0" fontId="26"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0" fontId="0" fillId="2" borderId="6" xfId="0" applyFill="1" applyBorder="1"/>
    <xf numFmtId="165" fontId="1" fillId="0" borderId="0" xfId="2" applyNumberFormat="1" applyAlignment="1">
      <alignment horizontal="center"/>
    </xf>
    <xf numFmtId="165" fontId="1" fillId="0" borderId="0" xfId="2" applyNumberFormat="1"/>
    <xf numFmtId="0" fontId="26" fillId="10" borderId="0" xfId="0" applyFont="1" applyFill="1"/>
    <xf numFmtId="2" fontId="26" fillId="0" borderId="0" xfId="0" applyNumberFormat="1" applyFont="1" applyBorder="1" applyAlignment="1">
      <alignment horizontal="center"/>
    </xf>
    <xf numFmtId="0" fontId="0" fillId="0" borderId="0" xfId="0" applyAlignment="1">
      <alignment horizontal="center"/>
    </xf>
    <xf numFmtId="0" fontId="28" fillId="4" borderId="1" xfId="0" applyFont="1" applyFill="1" applyBorder="1" applyAlignment="1">
      <alignment horizontal="center"/>
    </xf>
    <xf numFmtId="0" fontId="0" fillId="5" borderId="1" xfId="0" applyFill="1" applyBorder="1" applyAlignment="1">
      <alignment horizontal="center"/>
    </xf>
    <xf numFmtId="2" fontId="1" fillId="0" borderId="0" xfId="2" applyNumberFormat="1" applyAlignment="1" applyProtection="1">
      <alignment horizontal="center"/>
    </xf>
    <xf numFmtId="11" fontId="0" fillId="0" borderId="0" xfId="0" applyNumberFormat="1" applyFill="1" applyBorder="1" applyAlignment="1" applyProtection="1">
      <alignment horizontal="center" vertical="center"/>
      <protection locked="0"/>
    </xf>
    <xf numFmtId="0" fontId="0" fillId="0" borderId="0" xfId="0" applyFill="1" applyAlignment="1">
      <alignment horizontal="right"/>
    </xf>
    <xf numFmtId="2" fontId="0" fillId="0" borderId="0" xfId="0" applyNumberFormat="1" applyFill="1"/>
    <xf numFmtId="0" fontId="0" fillId="0" borderId="0" xfId="0" applyFill="1" applyAlignment="1">
      <alignment horizontal="center"/>
    </xf>
    <xf numFmtId="0" fontId="1" fillId="0" borderId="0" xfId="0" applyFont="1" applyFill="1"/>
    <xf numFmtId="0" fontId="2" fillId="0" borderId="0" xfId="0" applyFont="1" applyFill="1" applyAlignment="1">
      <alignment horizontal="center"/>
    </xf>
    <xf numFmtId="0" fontId="1" fillId="0" borderId="0" xfId="0" applyFont="1" applyFill="1" applyAlignment="1">
      <alignment horizontal="center"/>
    </xf>
    <xf numFmtId="0" fontId="25" fillId="0" borderId="0" xfId="0" applyFont="1" applyFill="1" applyAlignment="1">
      <alignment horizontal="center"/>
    </xf>
    <xf numFmtId="2" fontId="1" fillId="0" borderId="0" xfId="0" applyNumberFormat="1" applyFont="1" applyFill="1"/>
    <xf numFmtId="0" fontId="2" fillId="0" borderId="0" xfId="0" applyFont="1" applyFill="1"/>
    <xf numFmtId="2" fontId="0" fillId="0" borderId="0" xfId="0" applyNumberFormat="1" applyFill="1" applyAlignment="1">
      <alignment horizontal="center"/>
    </xf>
    <xf numFmtId="0" fontId="0" fillId="0" borderId="4" xfId="0" applyFill="1" applyBorder="1"/>
    <xf numFmtId="0" fontId="0" fillId="0" borderId="0" xfId="0" applyFill="1" applyBorder="1"/>
    <xf numFmtId="0" fontId="0" fillId="0" borderId="9" xfId="0" applyFill="1" applyBorder="1"/>
    <xf numFmtId="0" fontId="0" fillId="0" borderId="0" xfId="0" applyBorder="1" applyAlignment="1"/>
    <xf numFmtId="2" fontId="0" fillId="0" borderId="0" xfId="0" applyNumberFormat="1" applyBorder="1" applyAlignment="1">
      <alignment horizontal="center"/>
    </xf>
    <xf numFmtId="0" fontId="0" fillId="2" borderId="25" xfId="0" applyFill="1" applyBorder="1" applyAlignment="1">
      <alignment wrapText="1"/>
    </xf>
    <xf numFmtId="0" fontId="0" fillId="2" borderId="25" xfId="0" applyFill="1" applyBorder="1" applyAlignment="1"/>
    <xf numFmtId="0" fontId="0" fillId="11" borderId="35" xfId="0" applyFill="1" applyBorder="1" applyProtection="1"/>
    <xf numFmtId="0" fontId="0" fillId="11" borderId="36" xfId="0" applyFill="1" applyBorder="1" applyProtection="1"/>
    <xf numFmtId="0" fontId="0" fillId="11" borderId="37" xfId="0" applyFill="1" applyBorder="1" applyProtection="1"/>
    <xf numFmtId="0" fontId="0" fillId="11" borderId="38" xfId="0" applyFill="1" applyBorder="1" applyProtection="1"/>
    <xf numFmtId="0" fontId="0" fillId="11" borderId="0" xfId="0" applyFill="1" applyBorder="1" applyProtection="1"/>
    <xf numFmtId="0" fontId="0" fillId="11" borderId="39" xfId="0" applyFill="1" applyBorder="1" applyProtection="1"/>
    <xf numFmtId="0" fontId="32" fillId="11" borderId="0" xfId="0" applyFont="1" applyFill="1" applyBorder="1" applyProtection="1"/>
    <xf numFmtId="0" fontId="33" fillId="11" borderId="0" xfId="0" applyFont="1" applyFill="1" applyBorder="1" applyProtection="1"/>
    <xf numFmtId="0" fontId="34" fillId="11" borderId="0" xfId="0" applyFont="1" applyFill="1" applyBorder="1" applyProtection="1"/>
    <xf numFmtId="0" fontId="35" fillId="11" borderId="0" xfId="0" applyFont="1" applyFill="1" applyProtection="1"/>
    <xf numFmtId="0" fontId="0" fillId="11" borderId="0" xfId="0" applyFill="1" applyProtection="1"/>
    <xf numFmtId="0" fontId="36" fillId="11" borderId="0" xfId="0" applyFont="1" applyFill="1" applyAlignment="1" applyProtection="1"/>
    <xf numFmtId="0" fontId="36" fillId="11" borderId="0" xfId="0" applyFont="1" applyFill="1" applyAlignment="1" applyProtection="1">
      <alignment wrapText="1"/>
    </xf>
    <xf numFmtId="0" fontId="37" fillId="11" borderId="0" xfId="0" applyFont="1" applyFill="1" applyAlignment="1" applyProtection="1">
      <alignment vertical="center"/>
    </xf>
    <xf numFmtId="0" fontId="37" fillId="11" borderId="0" xfId="0" applyFont="1" applyFill="1" applyProtection="1"/>
    <xf numFmtId="0" fontId="1" fillId="11" borderId="0" xfId="0" applyFont="1" applyFill="1" applyBorder="1" applyProtection="1"/>
    <xf numFmtId="0" fontId="0" fillId="0" borderId="0" xfId="0" applyAlignment="1">
      <alignment horizontal="center"/>
    </xf>
    <xf numFmtId="0" fontId="0" fillId="5" borderId="1" xfId="0" applyFill="1" applyBorder="1" applyAlignment="1" applyProtection="1">
      <alignment horizontal="center" vertical="center"/>
      <protection locked="0"/>
    </xf>
    <xf numFmtId="0" fontId="0" fillId="0" borderId="0" xfId="0" applyAlignment="1">
      <alignment horizontal="center"/>
    </xf>
    <xf numFmtId="0" fontId="1" fillId="0" borderId="0" xfId="0" applyFont="1" applyAlignment="1">
      <alignment horizontal="center"/>
    </xf>
    <xf numFmtId="0" fontId="26" fillId="0" borderId="0" xfId="0" applyFont="1" applyBorder="1" applyAlignment="1">
      <alignment horizontal="center"/>
    </xf>
    <xf numFmtId="2" fontId="0" fillId="0" borderId="0" xfId="0" applyNumberFormat="1" applyBorder="1" applyAlignment="1">
      <alignment horizontal="center"/>
    </xf>
    <xf numFmtId="0" fontId="0" fillId="0" borderId="0" xfId="0"/>
    <xf numFmtId="0" fontId="0" fillId="0" borderId="0" xfId="0" applyBorder="1"/>
    <xf numFmtId="0" fontId="1" fillId="0" borderId="0" xfId="0" applyFont="1"/>
    <xf numFmtId="0" fontId="1" fillId="0" borderId="0" xfId="0" applyFont="1"/>
    <xf numFmtId="0" fontId="0" fillId="0" borderId="0" xfId="0"/>
    <xf numFmtId="0" fontId="1" fillId="0" borderId="0" xfId="0" applyFont="1"/>
    <xf numFmtId="0" fontId="0" fillId="0" borderId="0" xfId="0" applyAlignment="1">
      <alignment horizontal="center"/>
    </xf>
    <xf numFmtId="0" fontId="0" fillId="2" borderId="25" xfId="0" applyFill="1" applyBorder="1" applyAlignment="1">
      <alignment horizontal="right"/>
    </xf>
    <xf numFmtId="0" fontId="1" fillId="2" borderId="1" xfId="0" applyFont="1" applyFill="1" applyBorder="1" applyAlignment="1">
      <alignment horizontal="right"/>
    </xf>
    <xf numFmtId="0" fontId="1" fillId="0" borderId="1" xfId="0" applyFont="1" applyBorder="1" applyAlignment="1">
      <alignment horizontal="right"/>
    </xf>
    <xf numFmtId="164" fontId="1" fillId="2" borderId="1" xfId="0" applyNumberFormat="1" applyFont="1" applyFill="1" applyBorder="1" applyAlignment="1">
      <alignment horizontal="right"/>
    </xf>
    <xf numFmtId="0" fontId="0" fillId="12" borderId="23" xfId="0" applyFill="1" applyBorder="1"/>
    <xf numFmtId="0" fontId="1" fillId="12" borderId="24" xfId="0" applyFont="1" applyFill="1" applyBorder="1" applyAlignment="1">
      <alignment horizontal="center"/>
    </xf>
    <xf numFmtId="0" fontId="2" fillId="12" borderId="24" xfId="0" applyFont="1" applyFill="1" applyBorder="1" applyAlignment="1">
      <alignment horizontal="center"/>
    </xf>
    <xf numFmtId="0" fontId="2" fillId="12" borderId="28" xfId="0" applyFont="1" applyFill="1" applyBorder="1" applyAlignment="1">
      <alignment horizontal="left"/>
    </xf>
    <xf numFmtId="0" fontId="0" fillId="2" borderId="18" xfId="0" applyFill="1" applyBorder="1"/>
    <xf numFmtId="0" fontId="1" fillId="2" borderId="19" xfId="0" applyFont="1" applyFill="1" applyBorder="1"/>
    <xf numFmtId="0" fontId="0" fillId="2" borderId="20" xfId="0" applyFill="1" applyBorder="1"/>
    <xf numFmtId="164" fontId="1" fillId="2" borderId="21" xfId="0" applyNumberFormat="1" applyFont="1" applyFill="1" applyBorder="1" applyAlignment="1">
      <alignment horizontal="right"/>
    </xf>
    <xf numFmtId="0" fontId="1" fillId="2" borderId="22" xfId="0" applyFont="1" applyFill="1" applyBorder="1"/>
    <xf numFmtId="0" fontId="13" fillId="11" borderId="0" xfId="1" applyFill="1" applyAlignment="1" applyProtection="1"/>
    <xf numFmtId="0" fontId="1" fillId="11" borderId="40" xfId="2" applyFill="1" applyBorder="1" applyProtection="1"/>
    <xf numFmtId="0" fontId="1" fillId="11" borderId="41" xfId="2" applyFill="1" applyBorder="1" applyProtection="1"/>
    <xf numFmtId="0" fontId="1" fillId="11" borderId="42" xfId="2" applyFill="1" applyBorder="1" applyProtection="1"/>
    <xf numFmtId="0" fontId="1" fillId="6" borderId="11" xfId="0" applyFont="1" applyFill="1" applyBorder="1" applyAlignment="1" applyProtection="1">
      <alignment horizontal="center" vertical="center"/>
      <protection locked="0"/>
    </xf>
    <xf numFmtId="0" fontId="1" fillId="6" borderId="21" xfId="0" applyFon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0" fontId="13" fillId="11" borderId="0" xfId="1" applyFill="1" applyAlignment="1" applyProtection="1">
      <protection locked="0"/>
    </xf>
    <xf numFmtId="0" fontId="13" fillId="0" borderId="0" xfId="1" applyAlignment="1" applyProtection="1">
      <protection locked="0"/>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30" xfId="0" applyFont="1" applyBorder="1" applyAlignment="1">
      <alignment horizontal="center" vertical="center" wrapText="1"/>
    </xf>
    <xf numFmtId="0" fontId="12" fillId="3" borderId="0" xfId="0" applyFont="1" applyFill="1" applyBorder="1" applyAlignment="1" applyProtection="1">
      <alignment horizontal="center" vertical="center"/>
    </xf>
    <xf numFmtId="0" fontId="16" fillId="4" borderId="23" xfId="0" applyFont="1" applyFill="1" applyBorder="1" applyAlignment="1" applyProtection="1">
      <alignment horizontal="left" vertical="center"/>
    </xf>
    <xf numFmtId="0" fontId="16" fillId="4" borderId="24" xfId="0" applyFont="1" applyFill="1" applyBorder="1" applyAlignment="1" applyProtection="1">
      <alignment horizontal="left" vertical="center"/>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7" fillId="2" borderId="0" xfId="0" applyFont="1" applyFill="1" applyBorder="1" applyAlignment="1">
      <alignment horizontal="left" wrapText="1"/>
    </xf>
    <xf numFmtId="0" fontId="7" fillId="2" borderId="7" xfId="0" applyFont="1" applyFill="1" applyBorder="1" applyAlignment="1">
      <alignment horizontal="left" wrapText="1"/>
    </xf>
    <xf numFmtId="0" fontId="31" fillId="2" borderId="25" xfId="0" applyFont="1" applyFill="1" applyBorder="1" applyAlignment="1">
      <alignment horizontal="left" vertical="top" wrapText="1"/>
    </xf>
    <xf numFmtId="0" fontId="31" fillId="2" borderId="0" xfId="0" applyFont="1" applyFill="1" applyBorder="1" applyAlignment="1">
      <alignment horizontal="left" vertical="top" wrapText="1"/>
    </xf>
    <xf numFmtId="0" fontId="38" fillId="2" borderId="25" xfId="0" applyFont="1" applyFill="1" applyBorder="1" applyAlignment="1">
      <alignment horizontal="left" vertical="top" wrapText="1"/>
    </xf>
    <xf numFmtId="0" fontId="0" fillId="0" borderId="0" xfId="0" applyAlignment="1">
      <alignment horizontal="center"/>
    </xf>
    <xf numFmtId="0" fontId="25" fillId="0" borderId="0" xfId="0" applyFont="1" applyFill="1" applyAlignment="1">
      <alignment horizontal="center"/>
    </xf>
    <xf numFmtId="0" fontId="26" fillId="0" borderId="0" xfId="0" applyFont="1" applyFill="1" applyAlignment="1">
      <alignment horizontal="center"/>
    </xf>
    <xf numFmtId="0" fontId="2" fillId="0" borderId="0" xfId="0" applyFont="1" applyFill="1" applyAlignment="1">
      <alignment horizontal="center"/>
    </xf>
    <xf numFmtId="0" fontId="25" fillId="0" borderId="1" xfId="2" applyFont="1" applyBorder="1" applyAlignment="1">
      <alignment horizontal="center"/>
    </xf>
    <xf numFmtId="0" fontId="1" fillId="0" borderId="2" xfId="0" applyFont="1" applyBorder="1" applyAlignment="1">
      <alignment horizontal="center"/>
    </xf>
    <xf numFmtId="0" fontId="1" fillId="0" borderId="43" xfId="0" applyFont="1" applyBorder="1" applyAlignment="1">
      <alignment horizontal="center"/>
    </xf>
    <xf numFmtId="0" fontId="1" fillId="0" borderId="12" xfId="0" applyFont="1" applyBorder="1" applyAlignment="1">
      <alignment horizontal="center"/>
    </xf>
    <xf numFmtId="0" fontId="26" fillId="0" borderId="0" xfId="0" applyFont="1" applyBorder="1" applyAlignment="1">
      <alignment horizontal="center"/>
    </xf>
    <xf numFmtId="2" fontId="1" fillId="0" borderId="0" xfId="0" applyNumberFormat="1" applyFont="1" applyBorder="1" applyAlignment="1">
      <alignment horizontal="center"/>
    </xf>
    <xf numFmtId="2" fontId="0" fillId="0" borderId="0" xfId="0" applyNumberFormat="1" applyBorder="1" applyAlignment="1">
      <alignment horizontal="center"/>
    </xf>
  </cellXfs>
  <cellStyles count="3">
    <cellStyle name="Hyperlink" xfId="1" builtinId="8"/>
    <cellStyle name="Normal" xfId="0" builtinId="0"/>
    <cellStyle name="Normal 2" xfId="2" xr:uid="{00000000-0005-0000-0000-000002000000}"/>
  </cellStyles>
  <dxfs count="30">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dxf>
    <dxf>
      <font>
        <color theme="0"/>
      </font>
    </dxf>
    <dxf>
      <fill>
        <patternFill>
          <bgColor rgb="FFFFFF0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(t=Tfault)</c:v>
          </c:tx>
          <c:spPr>
            <a:ln w="25400">
              <a:solidFill>
                <a:srgbClr val="008000"/>
              </a:solidFill>
              <a:prstDash val="solid"/>
            </a:ln>
          </c:spPr>
          <c:marker>
            <c:symbol val="none"/>
          </c:marker>
          <c:xVal>
            <c:numRef>
              <c:f>Equations!$R$184:$R$263</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Equations!$V$184:$V$263</c:f>
              <c:numCache>
                <c:formatCode>0.00</c:formatCode>
                <c:ptCount val="80"/>
                <c:pt idx="0">
                  <c:v>420.02582090709075</c:v>
                </c:pt>
                <c:pt idx="1">
                  <c:v>210.01291045354537</c:v>
                </c:pt>
                <c:pt idx="2">
                  <c:v>140.00860696903024</c:v>
                </c:pt>
                <c:pt idx="3">
                  <c:v>105.00645522677269</c:v>
                </c:pt>
                <c:pt idx="4">
                  <c:v>84.005164181418152</c:v>
                </c:pt>
                <c:pt idx="5">
                  <c:v>70.00430348451512</c:v>
                </c:pt>
                <c:pt idx="6">
                  <c:v>60.003688701012962</c:v>
                </c:pt>
                <c:pt idx="7">
                  <c:v>52.503227613386343</c:v>
                </c:pt>
                <c:pt idx="8">
                  <c:v>46.669535656343413</c:v>
                </c:pt>
                <c:pt idx="9">
                  <c:v>42.002582090709076</c:v>
                </c:pt>
                <c:pt idx="10">
                  <c:v>38.184165537008248</c:v>
                </c:pt>
                <c:pt idx="11">
                  <c:v>35.00215174225756</c:v>
                </c:pt>
                <c:pt idx="12">
                  <c:v>32.309678531314674</c:v>
                </c:pt>
                <c:pt idx="13">
                  <c:v>30.001844350506481</c:v>
                </c:pt>
                <c:pt idx="14">
                  <c:v>28.001721393806051</c:v>
                </c:pt>
                <c:pt idx="15">
                  <c:v>26.251613806693172</c:v>
                </c:pt>
                <c:pt idx="16">
                  <c:v>24.707401229828868</c:v>
                </c:pt>
                <c:pt idx="17">
                  <c:v>23.334767828171707</c:v>
                </c:pt>
                <c:pt idx="18">
                  <c:v>22.106622153004775</c:v>
                </c:pt>
                <c:pt idx="19">
                  <c:v>21.001291045354538</c:v>
                </c:pt>
                <c:pt idx="20">
                  <c:v>20.001229567004323</c:v>
                </c:pt>
                <c:pt idx="21">
                  <c:v>19.092082768504124</c:v>
                </c:pt>
                <c:pt idx="22">
                  <c:v>18.261992213351771</c:v>
                </c:pt>
                <c:pt idx="23">
                  <c:v>17.50107587112878</c:v>
                </c:pt>
                <c:pt idx="24">
                  <c:v>16.801032836283628</c:v>
                </c:pt>
                <c:pt idx="25">
                  <c:v>16.154839265657337</c:v>
                </c:pt>
                <c:pt idx="26">
                  <c:v>15.556511885447806</c:v>
                </c:pt>
                <c:pt idx="27">
                  <c:v>15.00092217525324</c:v>
                </c:pt>
                <c:pt idx="28">
                  <c:v>14.483648996796232</c:v>
                </c:pt>
                <c:pt idx="29">
                  <c:v>14.000860696903025</c:v>
                </c:pt>
                <c:pt idx="30">
                  <c:v>13.549220029260992</c:v>
                </c:pt>
                <c:pt idx="31">
                  <c:v>13.125806903346586</c:v>
                </c:pt>
                <c:pt idx="32">
                  <c:v>12.72805517900275</c:v>
                </c:pt>
                <c:pt idx="33">
                  <c:v>12.353700614914434</c:v>
                </c:pt>
                <c:pt idx="34">
                  <c:v>12.000737740202593</c:v>
                </c:pt>
                <c:pt idx="35">
                  <c:v>11.667383914085853</c:v>
                </c:pt>
                <c:pt idx="36">
                  <c:v>11.352049213705156</c:v>
                </c:pt>
                <c:pt idx="37">
                  <c:v>11.053311076502387</c:v>
                </c:pt>
                <c:pt idx="38">
                  <c:v>10.769892843771558</c:v>
                </c:pt>
                <c:pt idx="39">
                  <c:v>10.500645522677269</c:v>
                </c:pt>
                <c:pt idx="40">
                  <c:v>10.244532217246116</c:v>
                </c:pt>
                <c:pt idx="41">
                  <c:v>10.000614783502161</c:v>
                </c:pt>
                <c:pt idx="42">
                  <c:v>9.7680423466765287</c:v>
                </c:pt>
                <c:pt idx="43">
                  <c:v>9.5460413842520619</c:v>
                </c:pt>
                <c:pt idx="44">
                  <c:v>9.333907131268683</c:v>
                </c:pt>
                <c:pt idx="45">
                  <c:v>9.1309961066758856</c:v>
                </c:pt>
                <c:pt idx="46">
                  <c:v>8.9367195937678883</c:v>
                </c:pt>
                <c:pt idx="47">
                  <c:v>8.75053793556439</c:v>
                </c:pt>
                <c:pt idx="48">
                  <c:v>8.5719555287161384</c:v>
                </c:pt>
                <c:pt idx="49">
                  <c:v>8.4005164181418142</c:v>
                </c:pt>
                <c:pt idx="50">
                  <c:v>8.2358004099429554</c:v>
                </c:pt>
                <c:pt idx="51">
                  <c:v>8.0774196328286685</c:v>
                </c:pt>
                <c:pt idx="52">
                  <c:v>7.9250154888130329</c:v>
                </c:pt>
                <c:pt idx="53">
                  <c:v>7.7782559427239031</c:v>
                </c:pt>
                <c:pt idx="54">
                  <c:v>7.6368331074016496</c:v>
                </c:pt>
                <c:pt idx="55">
                  <c:v>7.5004610876266202</c:v>
                </c:pt>
                <c:pt idx="56">
                  <c:v>7.3688740510015922</c:v>
                </c:pt>
                <c:pt idx="57">
                  <c:v>7.2418244983981159</c:v>
                </c:pt>
                <c:pt idx="58">
                  <c:v>7.1190817102896737</c:v>
                </c:pt>
                <c:pt idx="59">
                  <c:v>7.0004303484515127</c:v>
                </c:pt>
                <c:pt idx="60">
                  <c:v>6.8856691951982087</c:v>
                </c:pt>
                <c:pt idx="61">
                  <c:v>6.7746100146304959</c:v>
                </c:pt>
                <c:pt idx="62">
                  <c:v>6.6670765223347734</c:v>
                </c:pt>
                <c:pt idx="63">
                  <c:v>6.5629034516732929</c:v>
                </c:pt>
                <c:pt idx="64">
                  <c:v>6.4619357062629348</c:v>
                </c:pt>
                <c:pt idx="65">
                  <c:v>6.3640275895013749</c:v>
                </c:pt>
                <c:pt idx="66">
                  <c:v>6.2690421030909063</c:v>
                </c:pt>
                <c:pt idx="67">
                  <c:v>6.176850307457217</c:v>
                </c:pt>
                <c:pt idx="68">
                  <c:v>6.0873307377839243</c:v>
                </c:pt>
                <c:pt idx="69">
                  <c:v>6.0003688701012967</c:v>
                </c:pt>
                <c:pt idx="70">
                  <c:v>5.9158566324942354</c:v>
                </c:pt>
                <c:pt idx="71">
                  <c:v>5.8336919570429266</c:v>
                </c:pt>
                <c:pt idx="72">
                  <c:v>5.7537783685902841</c:v>
                </c:pt>
                <c:pt idx="73">
                  <c:v>5.6760246068525779</c:v>
                </c:pt>
                <c:pt idx="74">
                  <c:v>5.6003442787612103</c:v>
                </c:pt>
                <c:pt idx="75">
                  <c:v>5.5266555382511937</c:v>
                </c:pt>
                <c:pt idx="76">
                  <c:v>5.4548807910011785</c:v>
                </c:pt>
                <c:pt idx="77">
                  <c:v>5.384946421885779</c:v>
                </c:pt>
                <c:pt idx="78">
                  <c:v>5.3167825431277311</c:v>
                </c:pt>
                <c:pt idx="79">
                  <c:v>5.2503227613386345</c:v>
                </c:pt>
              </c:numCache>
            </c:numRef>
          </c:yVal>
          <c:smooth val="0"/>
          <c:extLst>
            <c:ext xmlns:c16="http://schemas.microsoft.com/office/drawing/2014/chart" uri="{C3380CC4-5D6E-409C-BE32-E72D297353CC}">
              <c16:uniqueId val="{00000000-9062-42D2-A4C4-05AE7E18187F}"/>
            </c:ext>
          </c:extLst>
        </c:ser>
        <c:ser>
          <c:idx val="1"/>
          <c:order val="1"/>
          <c:tx>
            <c:v>Typ Device SOA Limit</c:v>
          </c:tx>
          <c:spPr>
            <a:ln w="25400">
              <a:solidFill>
                <a:srgbClr val="FF0000"/>
              </a:solidFill>
              <a:prstDash val="solid"/>
            </a:ln>
          </c:spPr>
          <c:marker>
            <c:symbol val="none"/>
          </c:marker>
          <c:xVal>
            <c:numRef>
              <c:f>Equations!$R$184:$R$263</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Equations!$T$184:$T$263</c:f>
              <c:numCache>
                <c:formatCode>0.00</c:formatCode>
                <c:ptCount val="80"/>
                <c:pt idx="0">
                  <c:v>50</c:v>
                </c:pt>
                <c:pt idx="1">
                  <c:v>50</c:v>
                </c:pt>
                <c:pt idx="2">
                  <c:v>50</c:v>
                </c:pt>
                <c:pt idx="3">
                  <c:v>46.975000000000001</c:v>
                </c:pt>
                <c:pt idx="4">
                  <c:v>37.78</c:v>
                </c:pt>
                <c:pt idx="5">
                  <c:v>31.650000000000002</c:v>
                </c:pt>
                <c:pt idx="6">
                  <c:v>27.271428571428572</c:v>
                </c:pt>
                <c:pt idx="7">
                  <c:v>23.987500000000001</c:v>
                </c:pt>
                <c:pt idx="8">
                  <c:v>21.433333333333334</c:v>
                </c:pt>
                <c:pt idx="9">
                  <c:v>19.39</c:v>
                </c:pt>
                <c:pt idx="10">
                  <c:v>17.718181818181819</c:v>
                </c:pt>
                <c:pt idx="11">
                  <c:v>16.324999999999999</c:v>
                </c:pt>
                <c:pt idx="12">
                  <c:v>15.146153846153847</c:v>
                </c:pt>
                <c:pt idx="13">
                  <c:v>14.135714285714286</c:v>
                </c:pt>
                <c:pt idx="14">
                  <c:v>13.26</c:v>
                </c:pt>
                <c:pt idx="15">
                  <c:v>12.49375</c:v>
                </c:pt>
                <c:pt idx="16">
                  <c:v>11.81764705882353</c:v>
                </c:pt>
                <c:pt idx="17">
                  <c:v>11.216666666666667</c:v>
                </c:pt>
                <c:pt idx="18">
                  <c:v>10.678947368421053</c:v>
                </c:pt>
                <c:pt idx="19">
                  <c:v>10.195</c:v>
                </c:pt>
                <c:pt idx="20">
                  <c:v>9.757142857142858</c:v>
                </c:pt>
                <c:pt idx="21">
                  <c:v>9.3590909090909093</c:v>
                </c:pt>
                <c:pt idx="22">
                  <c:v>8.9956521739130437</c:v>
                </c:pt>
                <c:pt idx="23">
                  <c:v>8.6624999999999996</c:v>
                </c:pt>
                <c:pt idx="24">
                  <c:v>8.3559999999999999</c:v>
                </c:pt>
                <c:pt idx="25">
                  <c:v>8.0730769230769237</c:v>
                </c:pt>
                <c:pt idx="26">
                  <c:v>7.8111111111111109</c:v>
                </c:pt>
                <c:pt idx="27">
                  <c:v>7.5678571428571431</c:v>
                </c:pt>
                <c:pt idx="28">
                  <c:v>7.3413793103448279</c:v>
                </c:pt>
                <c:pt idx="29">
                  <c:v>7.13</c:v>
                </c:pt>
                <c:pt idx="30">
                  <c:v>6.9322580645161294</c:v>
                </c:pt>
                <c:pt idx="31">
                  <c:v>6.7468750000000002</c:v>
                </c:pt>
                <c:pt idx="32">
                  <c:v>6.5727272727272732</c:v>
                </c:pt>
                <c:pt idx="33">
                  <c:v>6.408823529411765</c:v>
                </c:pt>
                <c:pt idx="34">
                  <c:v>6.2542857142857144</c:v>
                </c:pt>
                <c:pt idx="35">
                  <c:v>6.1083333333333334</c:v>
                </c:pt>
                <c:pt idx="36">
                  <c:v>5.9702702702702704</c:v>
                </c:pt>
                <c:pt idx="37">
                  <c:v>5.8394736842105264</c:v>
                </c:pt>
                <c:pt idx="38">
                  <c:v>5.7153846153846155</c:v>
                </c:pt>
                <c:pt idx="39">
                  <c:v>5.5975000000000001</c:v>
                </c:pt>
                <c:pt idx="40">
                  <c:v>5.4853658536585366</c:v>
                </c:pt>
                <c:pt idx="41">
                  <c:v>5.378571428571429</c:v>
                </c:pt>
                <c:pt idx="42">
                  <c:v>5.2767441860465114</c:v>
                </c:pt>
                <c:pt idx="43">
                  <c:v>5.1795454545454547</c:v>
                </c:pt>
                <c:pt idx="44">
                  <c:v>5.0866666666666669</c:v>
                </c:pt>
                <c:pt idx="45">
                  <c:v>4.9978260869565219</c:v>
                </c:pt>
                <c:pt idx="46">
                  <c:v>4.9127659574468083</c:v>
                </c:pt>
                <c:pt idx="47">
                  <c:v>4.8312499999999998</c:v>
                </c:pt>
                <c:pt idx="48">
                  <c:v>4.7530612244897963</c:v>
                </c:pt>
                <c:pt idx="49">
                  <c:v>4.6779999999999999</c:v>
                </c:pt>
                <c:pt idx="50">
                  <c:v>4.605882352941177</c:v>
                </c:pt>
                <c:pt idx="51">
                  <c:v>4.5365384615384619</c:v>
                </c:pt>
                <c:pt idx="52">
                  <c:v>4.469811320754717</c:v>
                </c:pt>
                <c:pt idx="53">
                  <c:v>4.4055555555555559</c:v>
                </c:pt>
                <c:pt idx="54">
                  <c:v>4.3436363636363637</c:v>
                </c:pt>
                <c:pt idx="55">
                  <c:v>4.2839285714285715</c:v>
                </c:pt>
                <c:pt idx="56">
                  <c:v>4.2263157894736842</c:v>
                </c:pt>
                <c:pt idx="57">
                  <c:v>4.1706896551724135</c:v>
                </c:pt>
                <c:pt idx="58">
                  <c:v>4.1169491525423734</c:v>
                </c:pt>
                <c:pt idx="59">
                  <c:v>4.0650000000000004</c:v>
                </c:pt>
                <c:pt idx="60">
                  <c:v>5.0000000000000003E-10</c:v>
                </c:pt>
                <c:pt idx="61">
                  <c:v>5.0000000000000003E-10</c:v>
                </c:pt>
                <c:pt idx="62">
                  <c:v>5.0000000000000003E-10</c:v>
                </c:pt>
                <c:pt idx="63">
                  <c:v>5.0000000000000003E-10</c:v>
                </c:pt>
                <c:pt idx="64">
                  <c:v>5.0000000000000003E-10</c:v>
                </c:pt>
                <c:pt idx="65">
                  <c:v>5.0000000000000003E-10</c:v>
                </c:pt>
                <c:pt idx="66">
                  <c:v>5.0000000000000003E-10</c:v>
                </c:pt>
                <c:pt idx="67">
                  <c:v>5.0000000000000003E-10</c:v>
                </c:pt>
                <c:pt idx="68">
                  <c:v>5.0000000000000003E-10</c:v>
                </c:pt>
                <c:pt idx="69">
                  <c:v>5.0000000000000003E-10</c:v>
                </c:pt>
                <c:pt idx="70">
                  <c:v>5.0000000000000003E-10</c:v>
                </c:pt>
                <c:pt idx="71">
                  <c:v>5.0000000000000003E-10</c:v>
                </c:pt>
                <c:pt idx="72">
                  <c:v>5.0000000000000003E-10</c:v>
                </c:pt>
                <c:pt idx="73">
                  <c:v>5.0000000000000003E-10</c:v>
                </c:pt>
                <c:pt idx="74">
                  <c:v>5.0000000000000003E-10</c:v>
                </c:pt>
                <c:pt idx="75">
                  <c:v>5.0000000000000003E-10</c:v>
                </c:pt>
                <c:pt idx="76">
                  <c:v>5.0000000000000003E-10</c:v>
                </c:pt>
                <c:pt idx="77">
                  <c:v>5.0000000000000003E-10</c:v>
                </c:pt>
                <c:pt idx="78">
                  <c:v>5.0000000000000003E-10</c:v>
                </c:pt>
                <c:pt idx="79">
                  <c:v>5.0000000000000003E-10</c:v>
                </c:pt>
              </c:numCache>
            </c:numRef>
          </c:yVal>
          <c:smooth val="0"/>
          <c:extLst>
            <c:ext xmlns:c16="http://schemas.microsoft.com/office/drawing/2014/chart" uri="{C3380CC4-5D6E-409C-BE32-E72D297353CC}">
              <c16:uniqueId val="{00000001-9062-42D2-A4C4-05AE7E18187F}"/>
            </c:ext>
          </c:extLst>
        </c:ser>
        <c:dLbls>
          <c:showLegendKey val="0"/>
          <c:showVal val="0"/>
          <c:showCatName val="0"/>
          <c:showSerName val="0"/>
          <c:showPercent val="0"/>
          <c:showBubbleSize val="0"/>
        </c:dLbls>
        <c:axId val="435561672"/>
        <c:axId val="435562064"/>
      </c:scatterChart>
      <c:valAx>
        <c:axId val="435561672"/>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5562064"/>
        <c:crossesAt val="0.1"/>
        <c:crossBetween val="midCat"/>
      </c:valAx>
      <c:valAx>
        <c:axId val="435562064"/>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5561672"/>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264457343660538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0.1</c:v>
                </c:pt>
                <c:pt idx="79">
                  <c:v>0.1</c:v>
                </c:pt>
                <c:pt idx="80">
                  <c:v>0.1</c:v>
                </c:pt>
                <c:pt idx="81">
                  <c:v>0.1</c:v>
                </c:pt>
                <c:pt idx="82">
                  <c:v>0.1</c:v>
                </c:pt>
                <c:pt idx="83">
                  <c:v>0.1</c:v>
                </c:pt>
                <c:pt idx="84">
                  <c:v>0.1</c:v>
                </c:pt>
                <c:pt idx="85">
                  <c:v>0.1</c:v>
                </c:pt>
                <c:pt idx="86">
                  <c:v>0.1</c:v>
                </c:pt>
                <c:pt idx="87">
                  <c:v>0.1</c:v>
                </c:pt>
                <c:pt idx="88">
                  <c:v>0.1</c:v>
                </c:pt>
                <c:pt idx="89">
                  <c:v>0.1</c:v>
                </c:pt>
                <c:pt idx="90">
                  <c:v>0.1</c:v>
                </c:pt>
                <c:pt idx="91">
                  <c:v>0.1</c:v>
                </c:pt>
                <c:pt idx="92">
                  <c:v>0.1</c:v>
                </c:pt>
                <c:pt idx="93">
                  <c:v>0.1</c:v>
                </c:pt>
                <c:pt idx="94">
                  <c:v>0.1</c:v>
                </c:pt>
                <c:pt idx="95">
                  <c:v>0.1</c:v>
                </c:pt>
                <c:pt idx="96">
                  <c:v>0.1</c:v>
                </c:pt>
                <c:pt idx="97">
                  <c:v>0.1</c:v>
                </c:pt>
                <c:pt idx="98">
                  <c:v>0.1</c:v>
                </c:pt>
                <c:pt idx="99">
                  <c:v>0.1</c:v>
                </c:pt>
                <c:pt idx="100">
                  <c:v>0.1</c:v>
                </c:pt>
                <c:pt idx="101">
                  <c:v>0.1</c:v>
                </c:pt>
              </c:numCache>
            </c:numRef>
          </c:yVal>
          <c:smooth val="1"/>
          <c:extLst>
            <c:ext xmlns:c16="http://schemas.microsoft.com/office/drawing/2014/chart" uri="{C3380CC4-5D6E-409C-BE32-E72D297353CC}">
              <c16:uniqueId val="{00000000-FC49-4802-9FB1-059F9DC024A1}"/>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Start_up!$G$10:$G$112</c:f>
              <c:numCache>
                <c:formatCode>General</c:formatCode>
                <c:ptCount val="103"/>
                <c:pt idx="0">
                  <c:v>0.16200000000000001</c:v>
                </c:pt>
                <c:pt idx="1">
                  <c:v>0.16200000000000001</c:v>
                </c:pt>
                <c:pt idx="2">
                  <c:v>0.16200000000000001</c:v>
                </c:pt>
                <c:pt idx="3">
                  <c:v>0.16200000000000001</c:v>
                </c:pt>
                <c:pt idx="4">
                  <c:v>0.16200000000000001</c:v>
                </c:pt>
                <c:pt idx="5">
                  <c:v>0.16200000000000001</c:v>
                </c:pt>
                <c:pt idx="6">
                  <c:v>0.16200000000000001</c:v>
                </c:pt>
                <c:pt idx="7">
                  <c:v>0.16200000000000001</c:v>
                </c:pt>
                <c:pt idx="8">
                  <c:v>0.16200000000000001</c:v>
                </c:pt>
                <c:pt idx="9">
                  <c:v>0.16200000000000001</c:v>
                </c:pt>
                <c:pt idx="10">
                  <c:v>0.16200000000000001</c:v>
                </c:pt>
                <c:pt idx="11">
                  <c:v>0.16200000000000001</c:v>
                </c:pt>
                <c:pt idx="12">
                  <c:v>0.16200000000000001</c:v>
                </c:pt>
                <c:pt idx="13">
                  <c:v>0.16200000000000001</c:v>
                </c:pt>
                <c:pt idx="14">
                  <c:v>0.16200000000000001</c:v>
                </c:pt>
                <c:pt idx="15">
                  <c:v>0.16200000000000001</c:v>
                </c:pt>
                <c:pt idx="16">
                  <c:v>0.16200000000000001</c:v>
                </c:pt>
                <c:pt idx="17">
                  <c:v>0.16200000000000001</c:v>
                </c:pt>
                <c:pt idx="18">
                  <c:v>0.16200000000000001</c:v>
                </c:pt>
                <c:pt idx="19">
                  <c:v>0.16200000000000001</c:v>
                </c:pt>
                <c:pt idx="20">
                  <c:v>0.16200000000000001</c:v>
                </c:pt>
                <c:pt idx="21">
                  <c:v>0.16200000000000001</c:v>
                </c:pt>
                <c:pt idx="22">
                  <c:v>0.16200000000000001</c:v>
                </c:pt>
                <c:pt idx="23">
                  <c:v>0.16200000000000001</c:v>
                </c:pt>
                <c:pt idx="24">
                  <c:v>0.16200000000000001</c:v>
                </c:pt>
                <c:pt idx="25">
                  <c:v>0.16200000000000001</c:v>
                </c:pt>
                <c:pt idx="26">
                  <c:v>0.16200000000000001</c:v>
                </c:pt>
                <c:pt idx="27">
                  <c:v>0.16200000000000001</c:v>
                </c:pt>
                <c:pt idx="28">
                  <c:v>0.16200000000000001</c:v>
                </c:pt>
                <c:pt idx="29">
                  <c:v>0.16200000000000001</c:v>
                </c:pt>
                <c:pt idx="30">
                  <c:v>0.16200000000000001</c:v>
                </c:pt>
                <c:pt idx="31">
                  <c:v>0.16200000000000001</c:v>
                </c:pt>
                <c:pt idx="32">
                  <c:v>0.16200000000000001</c:v>
                </c:pt>
                <c:pt idx="33">
                  <c:v>0.16200000000000001</c:v>
                </c:pt>
                <c:pt idx="34">
                  <c:v>0.16200000000000001</c:v>
                </c:pt>
                <c:pt idx="35">
                  <c:v>0.16200000000000001</c:v>
                </c:pt>
                <c:pt idx="36">
                  <c:v>0.16200000000000001</c:v>
                </c:pt>
                <c:pt idx="37">
                  <c:v>0.16200000000000001</c:v>
                </c:pt>
                <c:pt idx="38">
                  <c:v>0.16200000000000001</c:v>
                </c:pt>
                <c:pt idx="39">
                  <c:v>0.16200000000000001</c:v>
                </c:pt>
                <c:pt idx="40">
                  <c:v>0.16200000000000001</c:v>
                </c:pt>
                <c:pt idx="41">
                  <c:v>0.16200000000000001</c:v>
                </c:pt>
                <c:pt idx="42">
                  <c:v>0.16200000000000001</c:v>
                </c:pt>
                <c:pt idx="43">
                  <c:v>0.16200000000000001</c:v>
                </c:pt>
                <c:pt idx="44">
                  <c:v>0.16200000000000001</c:v>
                </c:pt>
                <c:pt idx="45">
                  <c:v>0.16200000000000001</c:v>
                </c:pt>
                <c:pt idx="46">
                  <c:v>0.16200000000000001</c:v>
                </c:pt>
                <c:pt idx="47">
                  <c:v>0.16200000000000001</c:v>
                </c:pt>
                <c:pt idx="48">
                  <c:v>0.16200000000000001</c:v>
                </c:pt>
                <c:pt idx="49">
                  <c:v>0.16200000000000001</c:v>
                </c:pt>
                <c:pt idx="50">
                  <c:v>0.16200000000000001</c:v>
                </c:pt>
                <c:pt idx="51">
                  <c:v>0.16200000000000001</c:v>
                </c:pt>
                <c:pt idx="52">
                  <c:v>0.16200000000000001</c:v>
                </c:pt>
                <c:pt idx="53">
                  <c:v>0.16200000000000001</c:v>
                </c:pt>
                <c:pt idx="54">
                  <c:v>0.16200000000000001</c:v>
                </c:pt>
                <c:pt idx="55">
                  <c:v>0.16200000000000001</c:v>
                </c:pt>
                <c:pt idx="56">
                  <c:v>0.16200000000000001</c:v>
                </c:pt>
                <c:pt idx="57">
                  <c:v>0.16200000000000001</c:v>
                </c:pt>
                <c:pt idx="58">
                  <c:v>0.16200000000000001</c:v>
                </c:pt>
                <c:pt idx="59">
                  <c:v>0.16200000000000001</c:v>
                </c:pt>
                <c:pt idx="60">
                  <c:v>0.16200000000000001</c:v>
                </c:pt>
                <c:pt idx="61">
                  <c:v>0.16200000000000001</c:v>
                </c:pt>
                <c:pt idx="62">
                  <c:v>0.16200000000000001</c:v>
                </c:pt>
                <c:pt idx="63">
                  <c:v>0.16200000000000001</c:v>
                </c:pt>
                <c:pt idx="64">
                  <c:v>0.16200000000000001</c:v>
                </c:pt>
                <c:pt idx="65">
                  <c:v>0.16200000000000001</c:v>
                </c:pt>
                <c:pt idx="66">
                  <c:v>0.16200000000000001</c:v>
                </c:pt>
                <c:pt idx="67">
                  <c:v>0.16200000000000001</c:v>
                </c:pt>
                <c:pt idx="68">
                  <c:v>0.16200000000000001</c:v>
                </c:pt>
                <c:pt idx="69">
                  <c:v>0.16200000000000001</c:v>
                </c:pt>
                <c:pt idx="70">
                  <c:v>0.16200000000000001</c:v>
                </c:pt>
                <c:pt idx="71">
                  <c:v>0.16200000000000001</c:v>
                </c:pt>
                <c:pt idx="72">
                  <c:v>0.16200000000000001</c:v>
                </c:pt>
                <c:pt idx="73">
                  <c:v>0.16200000000000001</c:v>
                </c:pt>
                <c:pt idx="74">
                  <c:v>0.16200000000000001</c:v>
                </c:pt>
                <c:pt idx="75">
                  <c:v>0.16200000000000001</c:v>
                </c:pt>
                <c:pt idx="76">
                  <c:v>0.16200000000000001</c:v>
                </c:pt>
                <c:pt idx="77">
                  <c:v>0.16200000000000001</c:v>
                </c:pt>
                <c:pt idx="78">
                  <c:v>0.26200000000000001</c:v>
                </c:pt>
                <c:pt idx="79">
                  <c:v>0.26200000000000001</c:v>
                </c:pt>
                <c:pt idx="80">
                  <c:v>0.26200000000000001</c:v>
                </c:pt>
                <c:pt idx="81">
                  <c:v>0.26200000000000001</c:v>
                </c:pt>
                <c:pt idx="82">
                  <c:v>0.26200000000000001</c:v>
                </c:pt>
                <c:pt idx="83">
                  <c:v>0.26200000000000001</c:v>
                </c:pt>
                <c:pt idx="84">
                  <c:v>0.26200000000000001</c:v>
                </c:pt>
                <c:pt idx="85">
                  <c:v>0.26200000000000001</c:v>
                </c:pt>
                <c:pt idx="86">
                  <c:v>0.26200000000000001</c:v>
                </c:pt>
                <c:pt idx="87">
                  <c:v>0.26200000000000001</c:v>
                </c:pt>
                <c:pt idx="88">
                  <c:v>0.26200000000000001</c:v>
                </c:pt>
                <c:pt idx="89">
                  <c:v>0.26200000000000001</c:v>
                </c:pt>
                <c:pt idx="90">
                  <c:v>0.26200000000000001</c:v>
                </c:pt>
                <c:pt idx="91">
                  <c:v>0.26200000000000001</c:v>
                </c:pt>
                <c:pt idx="92">
                  <c:v>0.26200000000000001</c:v>
                </c:pt>
                <c:pt idx="93">
                  <c:v>0.26200000000000001</c:v>
                </c:pt>
                <c:pt idx="94">
                  <c:v>0.26200000000000001</c:v>
                </c:pt>
                <c:pt idx="95">
                  <c:v>0.26200000000000001</c:v>
                </c:pt>
                <c:pt idx="96">
                  <c:v>0.26200000000000001</c:v>
                </c:pt>
                <c:pt idx="97">
                  <c:v>0.26200000000000001</c:v>
                </c:pt>
                <c:pt idx="98">
                  <c:v>0.26200000000000001</c:v>
                </c:pt>
                <c:pt idx="99">
                  <c:v>0.26200000000000001</c:v>
                </c:pt>
                <c:pt idx="100">
                  <c:v>0.26200000000000001</c:v>
                </c:pt>
                <c:pt idx="101">
                  <c:v>0.26200000000000001</c:v>
                </c:pt>
                <c:pt idx="102">
                  <c:v>0.26200000000000001</c:v>
                </c:pt>
              </c:numCache>
            </c:numRef>
          </c:yVal>
          <c:smooth val="1"/>
          <c:extLst>
            <c:ext xmlns:c16="http://schemas.microsoft.com/office/drawing/2014/chart" uri="{C3380CC4-5D6E-409C-BE32-E72D297353CC}">
              <c16:uniqueId val="{00000001-FC49-4802-9FB1-059F9DC024A1}"/>
            </c:ext>
          </c:extLst>
        </c:ser>
        <c:dLbls>
          <c:showLegendKey val="0"/>
          <c:showVal val="0"/>
          <c:showCatName val="0"/>
          <c:showSerName val="0"/>
          <c:showPercent val="0"/>
          <c:showBubbleSize val="0"/>
        </c:dLbls>
        <c:axId val="435562848"/>
        <c:axId val="435563240"/>
      </c:scatterChart>
      <c:valAx>
        <c:axId val="435562848"/>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435563240"/>
        <c:crosses val="autoZero"/>
        <c:crossBetween val="midCat"/>
      </c:valAx>
      <c:valAx>
        <c:axId val="435563240"/>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0" sourceLinked="0"/>
        <c:majorTickMark val="out"/>
        <c:minorTickMark val="none"/>
        <c:tickLblPos val="nextTo"/>
        <c:txPr>
          <a:bodyPr/>
          <a:lstStyle/>
          <a:p>
            <a:pPr>
              <a:defRPr b="1"/>
            </a:pPr>
            <a:endParaRPr lang="en-US"/>
          </a:p>
        </c:txPr>
        <c:crossAx val="435562848"/>
        <c:crosses val="autoZero"/>
        <c:crossBetween val="midCat"/>
      </c:valAx>
    </c:plotArea>
    <c:legend>
      <c:legendPos val="r"/>
      <c:layout>
        <c:manualLayout>
          <c:xMode val="edge"/>
          <c:yMode val="edge"/>
          <c:x val="0.73033541997931362"/>
          <c:y val="0.30818057993923337"/>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c:v>
                </c:pt>
                <c:pt idx="1">
                  <c:v>-0.01</c:v>
                </c:pt>
                <c:pt idx="2" formatCode="0.0">
                  <c:v>0</c:v>
                </c:pt>
                <c:pt idx="3" formatCode="0.0">
                  <c:v>2.8846153846153846</c:v>
                </c:pt>
                <c:pt idx="4" formatCode="0.0">
                  <c:v>5.7692307692307692</c:v>
                </c:pt>
                <c:pt idx="5" formatCode="0.0">
                  <c:v>8.6538461538461551</c:v>
                </c:pt>
                <c:pt idx="6" formatCode="0.0">
                  <c:v>11.538461538461538</c:v>
                </c:pt>
                <c:pt idx="7" formatCode="0.0">
                  <c:v>14.423076923076922</c:v>
                </c:pt>
                <c:pt idx="8" formatCode="0.0">
                  <c:v>17.30769230769231</c:v>
                </c:pt>
                <c:pt idx="9" formatCode="0.0">
                  <c:v>20.19230769230769</c:v>
                </c:pt>
                <c:pt idx="10" formatCode="0.0">
                  <c:v>23.076923076923077</c:v>
                </c:pt>
                <c:pt idx="11" formatCode="0.0">
                  <c:v>25.96153846153846</c:v>
                </c:pt>
                <c:pt idx="12" formatCode="0.0">
                  <c:v>28.84615384615384</c:v>
                </c:pt>
                <c:pt idx="13" formatCode="0.0">
                  <c:v>31.730769230769223</c:v>
                </c:pt>
                <c:pt idx="14" formatCode="0.0">
                  <c:v>34.615384615384613</c:v>
                </c:pt>
                <c:pt idx="15" formatCode="0.0">
                  <c:v>37.499999999999993</c:v>
                </c:pt>
                <c:pt idx="16" formatCode="0.0">
                  <c:v>40.384615384615373</c:v>
                </c:pt>
                <c:pt idx="17" formatCode="0.0">
                  <c:v>43.269230769230752</c:v>
                </c:pt>
                <c:pt idx="18" formatCode="0.0">
                  <c:v>46.153846153846146</c:v>
                </c:pt>
                <c:pt idx="19" formatCode="0.0">
                  <c:v>49.038461538461533</c:v>
                </c:pt>
                <c:pt idx="20" formatCode="0.0">
                  <c:v>51.923076923076913</c:v>
                </c:pt>
                <c:pt idx="21" formatCode="0.0">
                  <c:v>54.807692307692292</c:v>
                </c:pt>
                <c:pt idx="22" formatCode="0.0">
                  <c:v>57.692307692307672</c:v>
                </c:pt>
                <c:pt idx="23" formatCode="0.0">
                  <c:v>60.576923076923059</c:v>
                </c:pt>
                <c:pt idx="24" formatCode="0.0">
                  <c:v>63.461538461538446</c:v>
                </c:pt>
                <c:pt idx="25" formatCode="0.0">
                  <c:v>66.34615384615384</c:v>
                </c:pt>
                <c:pt idx="26" formatCode="0.0">
                  <c:v>69.230769230769226</c:v>
                </c:pt>
                <c:pt idx="27" formatCode="0.0">
                  <c:v>72.115384615384613</c:v>
                </c:pt>
                <c:pt idx="28" formatCode="0.0">
                  <c:v>75</c:v>
                </c:pt>
                <c:pt idx="29" formatCode="0.0">
                  <c:v>77.884615384615387</c:v>
                </c:pt>
                <c:pt idx="30" formatCode="0.0">
                  <c:v>80.769230769230759</c:v>
                </c:pt>
                <c:pt idx="31" formatCode="0.0">
                  <c:v>83.653846153846146</c:v>
                </c:pt>
                <c:pt idx="32" formatCode="0.0">
                  <c:v>86.538461538461533</c:v>
                </c:pt>
                <c:pt idx="33" formatCode="0.0">
                  <c:v>89.42307692307692</c:v>
                </c:pt>
                <c:pt idx="34" formatCode="0.0">
                  <c:v>92.307692307692321</c:v>
                </c:pt>
                <c:pt idx="35" formatCode="0.0">
                  <c:v>95.192307692307693</c:v>
                </c:pt>
                <c:pt idx="36" formatCode="0.0">
                  <c:v>98.076923076923094</c:v>
                </c:pt>
                <c:pt idx="37" formatCode="0.0">
                  <c:v>100.96153846153848</c:v>
                </c:pt>
                <c:pt idx="38" formatCode="0.0">
                  <c:v>103.84615384615387</c:v>
                </c:pt>
                <c:pt idx="39" formatCode="0.0">
                  <c:v>106.73076923076925</c:v>
                </c:pt>
                <c:pt idx="40" formatCode="0.0">
                  <c:v>109.61538461538464</c:v>
                </c:pt>
                <c:pt idx="41" formatCode="0.0">
                  <c:v>112.50000000000003</c:v>
                </c:pt>
                <c:pt idx="42" formatCode="0.0">
                  <c:v>115.38461538461542</c:v>
                </c:pt>
                <c:pt idx="43" formatCode="0.0">
                  <c:v>118.2692307692308</c:v>
                </c:pt>
                <c:pt idx="44" formatCode="0.0">
                  <c:v>121.15384615384619</c:v>
                </c:pt>
                <c:pt idx="45" formatCode="0.0">
                  <c:v>124.03846153846159</c:v>
                </c:pt>
                <c:pt idx="46" formatCode="0.0">
                  <c:v>126.92307692307698</c:v>
                </c:pt>
                <c:pt idx="47" formatCode="0.0">
                  <c:v>129.80769230769238</c:v>
                </c:pt>
                <c:pt idx="48" formatCode="0.0">
                  <c:v>132.69230769230774</c:v>
                </c:pt>
                <c:pt idx="49" formatCode="0.0">
                  <c:v>135.57692307692315</c:v>
                </c:pt>
                <c:pt idx="50" formatCode="0.0">
                  <c:v>138.46153846153854</c:v>
                </c:pt>
                <c:pt idx="51" formatCode="0.0">
                  <c:v>141.3461538461539</c:v>
                </c:pt>
                <c:pt idx="52" formatCode="0.0">
                  <c:v>144.23076923076928</c:v>
                </c:pt>
                <c:pt idx="53" formatCode="0.0">
                  <c:v>147.11538461538464</c:v>
                </c:pt>
                <c:pt idx="54" formatCode="0.0">
                  <c:v>150.00000000000003</c:v>
                </c:pt>
                <c:pt idx="55" formatCode="0.0">
                  <c:v>152.88461538461539</c:v>
                </c:pt>
                <c:pt idx="56" formatCode="0.0">
                  <c:v>155.76923076923083</c:v>
                </c:pt>
                <c:pt idx="57" formatCode="0.0">
                  <c:v>158.65384615384619</c:v>
                </c:pt>
                <c:pt idx="58" formatCode="0.0">
                  <c:v>161.53846153846158</c:v>
                </c:pt>
                <c:pt idx="59" formatCode="0.0">
                  <c:v>164.42307692307699</c:v>
                </c:pt>
                <c:pt idx="60" formatCode="0.0">
                  <c:v>167.30769230769235</c:v>
                </c:pt>
                <c:pt idx="61" formatCode="0.0">
                  <c:v>170.19230769230776</c:v>
                </c:pt>
                <c:pt idx="62" formatCode="0.0">
                  <c:v>173.07692307692312</c:v>
                </c:pt>
                <c:pt idx="63" formatCode="0.0">
                  <c:v>175.96153846153854</c:v>
                </c:pt>
                <c:pt idx="64" formatCode="0.0">
                  <c:v>178.8461538461539</c:v>
                </c:pt>
                <c:pt idx="65" formatCode="0.0">
                  <c:v>181.73076923076931</c:v>
                </c:pt>
                <c:pt idx="66" formatCode="0.0">
                  <c:v>184.6153846153847</c:v>
                </c:pt>
                <c:pt idx="67" formatCode="0.0">
                  <c:v>187.50000000000009</c:v>
                </c:pt>
                <c:pt idx="68" formatCode="0.0">
                  <c:v>190.38461538461544</c:v>
                </c:pt>
                <c:pt idx="69" formatCode="0.0">
                  <c:v>193.26923076923086</c:v>
                </c:pt>
                <c:pt idx="70" formatCode="0.0">
                  <c:v>196.15384615384627</c:v>
                </c:pt>
                <c:pt idx="71" formatCode="0.0">
                  <c:v>199.03846153846163</c:v>
                </c:pt>
                <c:pt idx="72" formatCode="0.0">
                  <c:v>201.92307692307705</c:v>
                </c:pt>
                <c:pt idx="73" formatCode="0.0">
                  <c:v>204.80769230769241</c:v>
                </c:pt>
                <c:pt idx="74" formatCode="0.0">
                  <c:v>207.69230769230782</c:v>
                </c:pt>
                <c:pt idx="75" formatCode="0.0">
                  <c:v>210.57692307692318</c:v>
                </c:pt>
                <c:pt idx="76" formatCode="0.0">
                  <c:v>213.46153846153859</c:v>
                </c:pt>
                <c:pt idx="77" formatCode="0.0">
                  <c:v>216.34615384615395</c:v>
                </c:pt>
                <c:pt idx="78" formatCode="0.0">
                  <c:v>219.23076923076937</c:v>
                </c:pt>
                <c:pt idx="79" formatCode="0.0">
                  <c:v>222.11538461538478</c:v>
                </c:pt>
                <c:pt idx="80" formatCode="0.0">
                  <c:v>225.00000000000014</c:v>
                </c:pt>
                <c:pt idx="81" formatCode="0.0">
                  <c:v>227.88461538461553</c:v>
                </c:pt>
                <c:pt idx="82" formatCode="0.0">
                  <c:v>230.76923076923092</c:v>
                </c:pt>
                <c:pt idx="83" formatCode="0.0">
                  <c:v>233.65384615384633</c:v>
                </c:pt>
                <c:pt idx="84" formatCode="0.0">
                  <c:v>236.53846153846169</c:v>
                </c:pt>
                <c:pt idx="85" formatCode="0.0">
                  <c:v>239.4230769230771</c:v>
                </c:pt>
                <c:pt idx="86" formatCode="0.0">
                  <c:v>242.30769230769246</c:v>
                </c:pt>
                <c:pt idx="87" formatCode="0.0">
                  <c:v>245.19230769230788</c:v>
                </c:pt>
                <c:pt idx="88" formatCode="0.0">
                  <c:v>248.07692307692324</c:v>
                </c:pt>
                <c:pt idx="89" formatCode="0.0">
                  <c:v>250.96153846153862</c:v>
                </c:pt>
                <c:pt idx="90" formatCode="0.0">
                  <c:v>253.84615384615401</c:v>
                </c:pt>
                <c:pt idx="91" formatCode="0.0">
                  <c:v>256.7307692307694</c:v>
                </c:pt>
                <c:pt idx="92" formatCode="0.0">
                  <c:v>259.61538461538476</c:v>
                </c:pt>
                <c:pt idx="93" formatCode="0.0">
                  <c:v>262.50000000000011</c:v>
                </c:pt>
                <c:pt idx="94" formatCode="0.0">
                  <c:v>265.38461538461547</c:v>
                </c:pt>
                <c:pt idx="95" formatCode="0.0">
                  <c:v>268.26923076923089</c:v>
                </c:pt>
                <c:pt idx="96" formatCode="0.0">
                  <c:v>271.15384615384625</c:v>
                </c:pt>
                <c:pt idx="97" formatCode="0.0">
                  <c:v>274.0384615384616</c:v>
                </c:pt>
                <c:pt idx="98" formatCode="0.0">
                  <c:v>276.92307692307702</c:v>
                </c:pt>
                <c:pt idx="99" formatCode="0.0">
                  <c:v>279.80769230769238</c:v>
                </c:pt>
                <c:pt idx="100" formatCode="0.0">
                  <c:v>282.69230769230774</c:v>
                </c:pt>
                <c:pt idx="101" formatCode="0.0">
                  <c:v>285.57692307692309</c:v>
                </c:pt>
                <c:pt idx="102" formatCode="0.0">
                  <c:v>288.46153846153851</c:v>
                </c:pt>
                <c:pt idx="103" formatCode="0.0">
                  <c:v>291.34615384615387</c:v>
                </c:pt>
                <c:pt idx="104" formatCode="0.0">
                  <c:v>294.23076923076923</c:v>
                </c:pt>
                <c:pt idx="105" formatCode="0.0">
                  <c:v>297.11538461538464</c:v>
                </c:pt>
                <c:pt idx="106" formatCode="0.0">
                  <c:v>300</c:v>
                </c:pt>
                <c:pt idx="107" formatCode="0.0">
                  <c:v>300.5</c:v>
                </c:pt>
              </c:numCache>
            </c:numRef>
          </c:xVal>
          <c:yVal>
            <c:numRef>
              <c:f>Start_up!$O$8:$O$115</c:f>
              <c:numCache>
                <c:formatCode>General</c:formatCode>
                <c:ptCount val="108"/>
                <c:pt idx="0">
                  <c:v>0</c:v>
                </c:pt>
                <c:pt idx="1">
                  <c:v>0</c:v>
                </c:pt>
                <c:pt idx="2">
                  <c:v>9.7200000000000006</c:v>
                </c:pt>
                <c:pt idx="3">
                  <c:v>9.6265384615384608</c:v>
                </c:pt>
                <c:pt idx="4">
                  <c:v>9.5330769230769228</c:v>
                </c:pt>
                <c:pt idx="5">
                  <c:v>9.4396153846153847</c:v>
                </c:pt>
                <c:pt idx="6">
                  <c:v>9.3461538461538467</c:v>
                </c:pt>
                <c:pt idx="7">
                  <c:v>9.2526923076923069</c:v>
                </c:pt>
                <c:pt idx="8">
                  <c:v>9.1592307692307706</c:v>
                </c:pt>
                <c:pt idx="9">
                  <c:v>9.0657692307692308</c:v>
                </c:pt>
                <c:pt idx="10">
                  <c:v>8.9723076923076928</c:v>
                </c:pt>
                <c:pt idx="11">
                  <c:v>8.8788461538461547</c:v>
                </c:pt>
                <c:pt idx="12">
                  <c:v>8.7853846153846167</c:v>
                </c:pt>
                <c:pt idx="13">
                  <c:v>8.6919230769230769</c:v>
                </c:pt>
                <c:pt idx="14">
                  <c:v>8.5984615384615388</c:v>
                </c:pt>
                <c:pt idx="15">
                  <c:v>8.5050000000000008</c:v>
                </c:pt>
                <c:pt idx="16">
                  <c:v>8.411538461538461</c:v>
                </c:pt>
                <c:pt idx="17">
                  <c:v>8.3180769230769229</c:v>
                </c:pt>
                <c:pt idx="18">
                  <c:v>8.2246153846153849</c:v>
                </c:pt>
                <c:pt idx="19">
                  <c:v>8.1311538461538468</c:v>
                </c:pt>
                <c:pt idx="20">
                  <c:v>8.037692307692307</c:v>
                </c:pt>
                <c:pt idx="21">
                  <c:v>7.9442307692307699</c:v>
                </c:pt>
                <c:pt idx="22">
                  <c:v>7.8507692307692309</c:v>
                </c:pt>
                <c:pt idx="23">
                  <c:v>7.7573076923076929</c:v>
                </c:pt>
                <c:pt idx="24">
                  <c:v>7.663846153846154</c:v>
                </c:pt>
                <c:pt idx="25">
                  <c:v>7.5703846153846159</c:v>
                </c:pt>
                <c:pt idx="26">
                  <c:v>7.476923076923077</c:v>
                </c:pt>
                <c:pt idx="27">
                  <c:v>7.383461538461539</c:v>
                </c:pt>
                <c:pt idx="28">
                  <c:v>7.29</c:v>
                </c:pt>
                <c:pt idx="29">
                  <c:v>7.1965384615384611</c:v>
                </c:pt>
                <c:pt idx="30">
                  <c:v>7.1030769230769231</c:v>
                </c:pt>
                <c:pt idx="31">
                  <c:v>7.0096153846153859</c:v>
                </c:pt>
                <c:pt idx="32">
                  <c:v>6.916153846153847</c:v>
                </c:pt>
                <c:pt idx="33">
                  <c:v>6.8226923076923072</c:v>
                </c:pt>
                <c:pt idx="34">
                  <c:v>6.7292307692307682</c:v>
                </c:pt>
                <c:pt idx="35">
                  <c:v>6.635769230769232</c:v>
                </c:pt>
                <c:pt idx="36">
                  <c:v>6.542307692307693</c:v>
                </c:pt>
                <c:pt idx="37">
                  <c:v>6.4488461538461541</c:v>
                </c:pt>
                <c:pt idx="38">
                  <c:v>6.3553846153846152</c:v>
                </c:pt>
                <c:pt idx="39">
                  <c:v>6.2619230769230771</c:v>
                </c:pt>
                <c:pt idx="40">
                  <c:v>6.1684615384615391</c:v>
                </c:pt>
                <c:pt idx="41">
                  <c:v>6.0750000000000002</c:v>
                </c:pt>
                <c:pt idx="42">
                  <c:v>5.9815384615384612</c:v>
                </c:pt>
                <c:pt idx="43">
                  <c:v>5.8880769230769232</c:v>
                </c:pt>
                <c:pt idx="44">
                  <c:v>5.7946153846153852</c:v>
                </c:pt>
                <c:pt idx="45">
                  <c:v>5.7011538461538462</c:v>
                </c:pt>
                <c:pt idx="46">
                  <c:v>5.6076923076923073</c:v>
                </c:pt>
                <c:pt idx="47">
                  <c:v>5.5142307692307684</c:v>
                </c:pt>
                <c:pt idx="48">
                  <c:v>5.4207692307692321</c:v>
                </c:pt>
                <c:pt idx="49">
                  <c:v>5.3273076923076932</c:v>
                </c:pt>
                <c:pt idx="50">
                  <c:v>5.2338461538461543</c:v>
                </c:pt>
                <c:pt idx="51">
                  <c:v>5.1403846153846153</c:v>
                </c:pt>
                <c:pt idx="52">
                  <c:v>5.0469230769230773</c:v>
                </c:pt>
                <c:pt idx="53">
                  <c:v>4.9534615384615384</c:v>
                </c:pt>
                <c:pt idx="54">
                  <c:v>4.8600000000000003</c:v>
                </c:pt>
                <c:pt idx="55">
                  <c:v>4.7665384615384623</c:v>
                </c:pt>
                <c:pt idx="56">
                  <c:v>4.6730769230769225</c:v>
                </c:pt>
                <c:pt idx="57">
                  <c:v>4.5796153846153853</c:v>
                </c:pt>
                <c:pt idx="58">
                  <c:v>4.4861538461538464</c:v>
                </c:pt>
                <c:pt idx="59">
                  <c:v>4.3926923076923075</c:v>
                </c:pt>
                <c:pt idx="60">
                  <c:v>4.2992307692307694</c:v>
                </c:pt>
                <c:pt idx="61">
                  <c:v>4.2057692307692305</c:v>
                </c:pt>
                <c:pt idx="62">
                  <c:v>4.1123076923076924</c:v>
                </c:pt>
                <c:pt idx="63">
                  <c:v>4.0188461538461535</c:v>
                </c:pt>
                <c:pt idx="64">
                  <c:v>3.9253846153846159</c:v>
                </c:pt>
                <c:pt idx="65">
                  <c:v>3.831923076923077</c:v>
                </c:pt>
                <c:pt idx="66">
                  <c:v>3.7384615384615381</c:v>
                </c:pt>
                <c:pt idx="67">
                  <c:v>3.645</c:v>
                </c:pt>
                <c:pt idx="68">
                  <c:v>3.5515384615384624</c:v>
                </c:pt>
                <c:pt idx="69">
                  <c:v>3.4580769230769235</c:v>
                </c:pt>
                <c:pt idx="70">
                  <c:v>3.3646153846153841</c:v>
                </c:pt>
                <c:pt idx="71">
                  <c:v>3.2711538461538465</c:v>
                </c:pt>
                <c:pt idx="72">
                  <c:v>3.1776923076923076</c:v>
                </c:pt>
                <c:pt idx="73">
                  <c:v>3.0842307692307696</c:v>
                </c:pt>
                <c:pt idx="74">
                  <c:v>2.9907692307692306</c:v>
                </c:pt>
                <c:pt idx="75">
                  <c:v>2.8973076923076926</c:v>
                </c:pt>
                <c:pt idx="76">
                  <c:v>2.8038461538461537</c:v>
                </c:pt>
                <c:pt idx="77">
                  <c:v>2.7103846153846161</c:v>
                </c:pt>
                <c:pt idx="78">
                  <c:v>2.6169230769230771</c:v>
                </c:pt>
                <c:pt idx="79">
                  <c:v>2.5234615384615378</c:v>
                </c:pt>
                <c:pt idx="80">
                  <c:v>3.93</c:v>
                </c:pt>
                <c:pt idx="81">
                  <c:v>3.7788461538461551</c:v>
                </c:pt>
                <c:pt idx="82">
                  <c:v>3.6276923076923078</c:v>
                </c:pt>
                <c:pt idx="83">
                  <c:v>3.4765384615384609</c:v>
                </c:pt>
                <c:pt idx="84">
                  <c:v>3.3253846153846158</c:v>
                </c:pt>
                <c:pt idx="85">
                  <c:v>3.174230769230769</c:v>
                </c:pt>
                <c:pt idx="86">
                  <c:v>3.0230769230769234</c:v>
                </c:pt>
                <c:pt idx="87">
                  <c:v>2.8719230769230766</c:v>
                </c:pt>
                <c:pt idx="88">
                  <c:v>2.7207692307692315</c:v>
                </c:pt>
                <c:pt idx="89">
                  <c:v>2.5696153846153846</c:v>
                </c:pt>
                <c:pt idx="90">
                  <c:v>2.4184615384615391</c:v>
                </c:pt>
                <c:pt idx="91">
                  <c:v>2.2673076923076922</c:v>
                </c:pt>
                <c:pt idx="92">
                  <c:v>2.1161538461538454</c:v>
                </c:pt>
                <c:pt idx="93">
                  <c:v>1.9650000000000001</c:v>
                </c:pt>
                <c:pt idx="94">
                  <c:v>1.813846153846155</c:v>
                </c:pt>
                <c:pt idx="95">
                  <c:v>1.6626923076923079</c:v>
                </c:pt>
                <c:pt idx="96">
                  <c:v>1.5115384615384608</c:v>
                </c:pt>
                <c:pt idx="97">
                  <c:v>1.3603846153846157</c:v>
                </c:pt>
                <c:pt idx="98">
                  <c:v>1.2092307692307687</c:v>
                </c:pt>
                <c:pt idx="99">
                  <c:v>1.0580769230769236</c:v>
                </c:pt>
                <c:pt idx="100">
                  <c:v>0.9069230769230765</c:v>
                </c:pt>
                <c:pt idx="101">
                  <c:v>0.75576923076923141</c:v>
                </c:pt>
                <c:pt idx="102">
                  <c:v>0.60461538461538433</c:v>
                </c:pt>
                <c:pt idx="103">
                  <c:v>0.45346153846153919</c:v>
                </c:pt>
                <c:pt idx="104">
                  <c:v>0.30230769230769217</c:v>
                </c:pt>
                <c:pt idx="105">
                  <c:v>0.15115384615384517</c:v>
                </c:pt>
                <c:pt idx="106">
                  <c:v>0</c:v>
                </c:pt>
                <c:pt idx="107">
                  <c:v>0</c:v>
                </c:pt>
              </c:numCache>
            </c:numRef>
          </c:yVal>
          <c:smooth val="0"/>
          <c:extLst>
            <c:ext xmlns:c16="http://schemas.microsoft.com/office/drawing/2014/chart" uri="{C3380CC4-5D6E-409C-BE32-E72D297353CC}">
              <c16:uniqueId val="{00000000-D02E-41E3-94AF-A485A633B308}"/>
            </c:ext>
          </c:extLst>
        </c:ser>
        <c:dLbls>
          <c:showLegendKey val="0"/>
          <c:showVal val="0"/>
          <c:showCatName val="0"/>
          <c:showSerName val="0"/>
          <c:showPercent val="0"/>
          <c:showBubbleSize val="0"/>
        </c:dLbls>
        <c:axId val="435564024"/>
        <c:axId val="435564416"/>
      </c:scatterChart>
      <c:valAx>
        <c:axId val="435564024"/>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435564416"/>
        <c:crosses val="autoZero"/>
        <c:crossBetween val="midCat"/>
      </c:valAx>
      <c:valAx>
        <c:axId val="435564416"/>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435564024"/>
        <c:crossesAt val="-1"/>
        <c:crossBetween val="midCat"/>
      </c:valAx>
    </c:plotArea>
    <c:legend>
      <c:legendPos val="r"/>
      <c:layout>
        <c:manualLayout>
          <c:xMode val="edge"/>
          <c:yMode val="edge"/>
          <c:x val="0.60142685418076891"/>
          <c:y val="0.20767295705890407"/>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0.1</c:v>
                </c:pt>
                <c:pt idx="79">
                  <c:v>0.1</c:v>
                </c:pt>
                <c:pt idx="80">
                  <c:v>0.1</c:v>
                </c:pt>
                <c:pt idx="81">
                  <c:v>0.1</c:v>
                </c:pt>
                <c:pt idx="82">
                  <c:v>0.1</c:v>
                </c:pt>
                <c:pt idx="83">
                  <c:v>0.1</c:v>
                </c:pt>
                <c:pt idx="84">
                  <c:v>0.1</c:v>
                </c:pt>
                <c:pt idx="85">
                  <c:v>0.1</c:v>
                </c:pt>
                <c:pt idx="86">
                  <c:v>0.1</c:v>
                </c:pt>
                <c:pt idx="87">
                  <c:v>0.1</c:v>
                </c:pt>
                <c:pt idx="88">
                  <c:v>0.1</c:v>
                </c:pt>
                <c:pt idx="89">
                  <c:v>0.1</c:v>
                </c:pt>
                <c:pt idx="90">
                  <c:v>0.1</c:v>
                </c:pt>
                <c:pt idx="91">
                  <c:v>0.1</c:v>
                </c:pt>
                <c:pt idx="92">
                  <c:v>0.1</c:v>
                </c:pt>
                <c:pt idx="93">
                  <c:v>0.1</c:v>
                </c:pt>
                <c:pt idx="94">
                  <c:v>0.1</c:v>
                </c:pt>
                <c:pt idx="95">
                  <c:v>0.1</c:v>
                </c:pt>
                <c:pt idx="96">
                  <c:v>0.1</c:v>
                </c:pt>
                <c:pt idx="97">
                  <c:v>0.1</c:v>
                </c:pt>
                <c:pt idx="98">
                  <c:v>0.1</c:v>
                </c:pt>
                <c:pt idx="99">
                  <c:v>0.1</c:v>
                </c:pt>
                <c:pt idx="100">
                  <c:v>0.1</c:v>
                </c:pt>
                <c:pt idx="101">
                  <c:v>0.1</c:v>
                </c:pt>
              </c:numCache>
            </c:numRef>
          </c:yVal>
          <c:smooth val="1"/>
          <c:extLst>
            <c:ext xmlns:c16="http://schemas.microsoft.com/office/drawing/2014/chart" uri="{C3380CC4-5D6E-409C-BE32-E72D297353CC}">
              <c16:uniqueId val="{00000000-D515-494C-98C8-4F185D005A95}"/>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Start_up!$G$10:$G$112</c:f>
              <c:numCache>
                <c:formatCode>General</c:formatCode>
                <c:ptCount val="103"/>
                <c:pt idx="0">
                  <c:v>0.16200000000000001</c:v>
                </c:pt>
                <c:pt idx="1">
                  <c:v>0.16200000000000001</c:v>
                </c:pt>
                <c:pt idx="2">
                  <c:v>0.16200000000000001</c:v>
                </c:pt>
                <c:pt idx="3">
                  <c:v>0.16200000000000001</c:v>
                </c:pt>
                <c:pt idx="4">
                  <c:v>0.16200000000000001</c:v>
                </c:pt>
                <c:pt idx="5">
                  <c:v>0.16200000000000001</c:v>
                </c:pt>
                <c:pt idx="6">
                  <c:v>0.16200000000000001</c:v>
                </c:pt>
                <c:pt idx="7">
                  <c:v>0.16200000000000001</c:v>
                </c:pt>
                <c:pt idx="8">
                  <c:v>0.16200000000000001</c:v>
                </c:pt>
                <c:pt idx="9">
                  <c:v>0.16200000000000001</c:v>
                </c:pt>
                <c:pt idx="10">
                  <c:v>0.16200000000000001</c:v>
                </c:pt>
                <c:pt idx="11">
                  <c:v>0.16200000000000001</c:v>
                </c:pt>
                <c:pt idx="12">
                  <c:v>0.16200000000000001</c:v>
                </c:pt>
                <c:pt idx="13">
                  <c:v>0.16200000000000001</c:v>
                </c:pt>
                <c:pt idx="14">
                  <c:v>0.16200000000000001</c:v>
                </c:pt>
                <c:pt idx="15">
                  <c:v>0.16200000000000001</c:v>
                </c:pt>
                <c:pt idx="16">
                  <c:v>0.16200000000000001</c:v>
                </c:pt>
                <c:pt idx="17">
                  <c:v>0.16200000000000001</c:v>
                </c:pt>
                <c:pt idx="18">
                  <c:v>0.16200000000000001</c:v>
                </c:pt>
                <c:pt idx="19">
                  <c:v>0.16200000000000001</c:v>
                </c:pt>
                <c:pt idx="20">
                  <c:v>0.16200000000000001</c:v>
                </c:pt>
                <c:pt idx="21">
                  <c:v>0.16200000000000001</c:v>
                </c:pt>
                <c:pt idx="22">
                  <c:v>0.16200000000000001</c:v>
                </c:pt>
                <c:pt idx="23">
                  <c:v>0.16200000000000001</c:v>
                </c:pt>
                <c:pt idx="24">
                  <c:v>0.16200000000000001</c:v>
                </c:pt>
                <c:pt idx="25">
                  <c:v>0.16200000000000001</c:v>
                </c:pt>
                <c:pt idx="26">
                  <c:v>0.16200000000000001</c:v>
                </c:pt>
                <c:pt idx="27">
                  <c:v>0.16200000000000001</c:v>
                </c:pt>
                <c:pt idx="28">
                  <c:v>0.16200000000000001</c:v>
                </c:pt>
                <c:pt idx="29">
                  <c:v>0.16200000000000001</c:v>
                </c:pt>
                <c:pt idx="30">
                  <c:v>0.16200000000000001</c:v>
                </c:pt>
                <c:pt idx="31">
                  <c:v>0.16200000000000001</c:v>
                </c:pt>
                <c:pt idx="32">
                  <c:v>0.16200000000000001</c:v>
                </c:pt>
                <c:pt idx="33">
                  <c:v>0.16200000000000001</c:v>
                </c:pt>
                <c:pt idx="34">
                  <c:v>0.16200000000000001</c:v>
                </c:pt>
                <c:pt idx="35">
                  <c:v>0.16200000000000001</c:v>
                </c:pt>
                <c:pt idx="36">
                  <c:v>0.16200000000000001</c:v>
                </c:pt>
                <c:pt idx="37">
                  <c:v>0.16200000000000001</c:v>
                </c:pt>
                <c:pt idx="38">
                  <c:v>0.16200000000000001</c:v>
                </c:pt>
                <c:pt idx="39">
                  <c:v>0.16200000000000001</c:v>
                </c:pt>
                <c:pt idx="40">
                  <c:v>0.16200000000000001</c:v>
                </c:pt>
                <c:pt idx="41">
                  <c:v>0.16200000000000001</c:v>
                </c:pt>
                <c:pt idx="42">
                  <c:v>0.16200000000000001</c:v>
                </c:pt>
                <c:pt idx="43">
                  <c:v>0.16200000000000001</c:v>
                </c:pt>
                <c:pt idx="44">
                  <c:v>0.16200000000000001</c:v>
                </c:pt>
                <c:pt idx="45">
                  <c:v>0.16200000000000001</c:v>
                </c:pt>
                <c:pt idx="46">
                  <c:v>0.16200000000000001</c:v>
                </c:pt>
                <c:pt idx="47">
                  <c:v>0.16200000000000001</c:v>
                </c:pt>
                <c:pt idx="48">
                  <c:v>0.16200000000000001</c:v>
                </c:pt>
                <c:pt idx="49">
                  <c:v>0.16200000000000001</c:v>
                </c:pt>
                <c:pt idx="50">
                  <c:v>0.16200000000000001</c:v>
                </c:pt>
                <c:pt idx="51">
                  <c:v>0.16200000000000001</c:v>
                </c:pt>
                <c:pt idx="52">
                  <c:v>0.16200000000000001</c:v>
                </c:pt>
                <c:pt idx="53">
                  <c:v>0.16200000000000001</c:v>
                </c:pt>
                <c:pt idx="54">
                  <c:v>0.16200000000000001</c:v>
                </c:pt>
                <c:pt idx="55">
                  <c:v>0.16200000000000001</c:v>
                </c:pt>
                <c:pt idx="56">
                  <c:v>0.16200000000000001</c:v>
                </c:pt>
                <c:pt idx="57">
                  <c:v>0.16200000000000001</c:v>
                </c:pt>
                <c:pt idx="58">
                  <c:v>0.16200000000000001</c:v>
                </c:pt>
                <c:pt idx="59">
                  <c:v>0.16200000000000001</c:v>
                </c:pt>
                <c:pt idx="60">
                  <c:v>0.16200000000000001</c:v>
                </c:pt>
                <c:pt idx="61">
                  <c:v>0.16200000000000001</c:v>
                </c:pt>
                <c:pt idx="62">
                  <c:v>0.16200000000000001</c:v>
                </c:pt>
                <c:pt idx="63">
                  <c:v>0.16200000000000001</c:v>
                </c:pt>
                <c:pt idx="64">
                  <c:v>0.16200000000000001</c:v>
                </c:pt>
                <c:pt idx="65">
                  <c:v>0.16200000000000001</c:v>
                </c:pt>
                <c:pt idx="66">
                  <c:v>0.16200000000000001</c:v>
                </c:pt>
                <c:pt idx="67">
                  <c:v>0.16200000000000001</c:v>
                </c:pt>
                <c:pt idx="68">
                  <c:v>0.16200000000000001</c:v>
                </c:pt>
                <c:pt idx="69">
                  <c:v>0.16200000000000001</c:v>
                </c:pt>
                <c:pt idx="70">
                  <c:v>0.16200000000000001</c:v>
                </c:pt>
                <c:pt idx="71">
                  <c:v>0.16200000000000001</c:v>
                </c:pt>
                <c:pt idx="72">
                  <c:v>0.16200000000000001</c:v>
                </c:pt>
                <c:pt idx="73">
                  <c:v>0.16200000000000001</c:v>
                </c:pt>
                <c:pt idx="74">
                  <c:v>0.16200000000000001</c:v>
                </c:pt>
                <c:pt idx="75">
                  <c:v>0.16200000000000001</c:v>
                </c:pt>
                <c:pt idx="76">
                  <c:v>0.16200000000000001</c:v>
                </c:pt>
                <c:pt idx="77">
                  <c:v>0.16200000000000001</c:v>
                </c:pt>
                <c:pt idx="78">
                  <c:v>0.26200000000000001</c:v>
                </c:pt>
                <c:pt idx="79">
                  <c:v>0.26200000000000001</c:v>
                </c:pt>
                <c:pt idx="80">
                  <c:v>0.26200000000000001</c:v>
                </c:pt>
                <c:pt idx="81">
                  <c:v>0.26200000000000001</c:v>
                </c:pt>
                <c:pt idx="82">
                  <c:v>0.26200000000000001</c:v>
                </c:pt>
                <c:pt idx="83">
                  <c:v>0.26200000000000001</c:v>
                </c:pt>
                <c:pt idx="84">
                  <c:v>0.26200000000000001</c:v>
                </c:pt>
                <c:pt idx="85">
                  <c:v>0.26200000000000001</c:v>
                </c:pt>
                <c:pt idx="86">
                  <c:v>0.26200000000000001</c:v>
                </c:pt>
                <c:pt idx="87">
                  <c:v>0.26200000000000001</c:v>
                </c:pt>
                <c:pt idx="88">
                  <c:v>0.26200000000000001</c:v>
                </c:pt>
                <c:pt idx="89">
                  <c:v>0.26200000000000001</c:v>
                </c:pt>
                <c:pt idx="90">
                  <c:v>0.26200000000000001</c:v>
                </c:pt>
                <c:pt idx="91">
                  <c:v>0.26200000000000001</c:v>
                </c:pt>
                <c:pt idx="92">
                  <c:v>0.26200000000000001</c:v>
                </c:pt>
                <c:pt idx="93">
                  <c:v>0.26200000000000001</c:v>
                </c:pt>
                <c:pt idx="94">
                  <c:v>0.26200000000000001</c:v>
                </c:pt>
                <c:pt idx="95">
                  <c:v>0.26200000000000001</c:v>
                </c:pt>
                <c:pt idx="96">
                  <c:v>0.26200000000000001</c:v>
                </c:pt>
                <c:pt idx="97">
                  <c:v>0.26200000000000001</c:v>
                </c:pt>
                <c:pt idx="98">
                  <c:v>0.26200000000000001</c:v>
                </c:pt>
                <c:pt idx="99">
                  <c:v>0.26200000000000001</c:v>
                </c:pt>
                <c:pt idx="100">
                  <c:v>0.26200000000000001</c:v>
                </c:pt>
                <c:pt idx="101">
                  <c:v>0.26200000000000001</c:v>
                </c:pt>
                <c:pt idx="102">
                  <c:v>0.26200000000000001</c:v>
                </c:pt>
              </c:numCache>
            </c:numRef>
          </c:yVal>
          <c:smooth val="1"/>
          <c:extLst>
            <c:ext xmlns:c16="http://schemas.microsoft.com/office/drawing/2014/chart" uri="{C3380CC4-5D6E-409C-BE32-E72D297353CC}">
              <c16:uniqueId val="{00000001-D515-494C-98C8-4F185D005A95}"/>
            </c:ext>
          </c:extLst>
        </c:ser>
        <c:dLbls>
          <c:showLegendKey val="0"/>
          <c:showVal val="0"/>
          <c:showCatName val="0"/>
          <c:showSerName val="0"/>
          <c:showPercent val="0"/>
          <c:showBubbleSize val="0"/>
        </c:dLbls>
        <c:axId val="435565592"/>
        <c:axId val="435565984"/>
      </c:scatterChart>
      <c:valAx>
        <c:axId val="435565592"/>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435565984"/>
        <c:crosses val="autoZero"/>
        <c:crossBetween val="midCat"/>
      </c:valAx>
      <c:valAx>
        <c:axId val="435565984"/>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435565592"/>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8.png"/><Relationship Id="rId3" Type="http://schemas.openxmlformats.org/officeDocument/2006/relationships/hyperlink" Target="http://www.ti.com/" TargetMode="External"/><Relationship Id="rId7" Type="http://schemas.openxmlformats.org/officeDocument/2006/relationships/image" Target="../media/image6.emf"/><Relationship Id="rId12" Type="http://schemas.openxmlformats.org/officeDocument/2006/relationships/hyperlink" Target="http://www.ti.com/product/lm5066i" TargetMode="External"/><Relationship Id="rId2" Type="http://schemas.openxmlformats.org/officeDocument/2006/relationships/hyperlink" Target="http://www.ti.com/lit/gpn/lm5066i" TargetMode="External"/><Relationship Id="rId16" Type="http://schemas.openxmlformats.org/officeDocument/2006/relationships/image" Target="../media/image11.png"/><Relationship Id="rId1" Type="http://schemas.openxmlformats.org/officeDocument/2006/relationships/image" Target="../media/image2.png"/><Relationship Id="rId6" Type="http://schemas.openxmlformats.org/officeDocument/2006/relationships/image" Target="../media/image5.png"/><Relationship Id="rId11" Type="http://schemas.openxmlformats.org/officeDocument/2006/relationships/chart" Target="../charts/chart3.xml"/><Relationship Id="rId5" Type="http://schemas.openxmlformats.org/officeDocument/2006/relationships/image" Target="../media/image4.emf"/><Relationship Id="rId15" Type="http://schemas.openxmlformats.org/officeDocument/2006/relationships/image" Target="../media/image10.png"/><Relationship Id="rId10" Type="http://schemas.openxmlformats.org/officeDocument/2006/relationships/chart" Target="../charts/chart2.xml"/><Relationship Id="rId4" Type="http://schemas.openxmlformats.org/officeDocument/2006/relationships/image" Target="../media/image3.png"/><Relationship Id="rId9" Type="http://schemas.openxmlformats.org/officeDocument/2006/relationships/chart" Target="../charts/chart1.xml"/><Relationship Id="rId1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96982</xdr:colOff>
      <xdr:row>1</xdr:row>
      <xdr:rowOff>132484</xdr:rowOff>
    </xdr:from>
    <xdr:to>
      <xdr:col>15</xdr:col>
      <xdr:colOff>678007</xdr:colOff>
      <xdr:row>5</xdr:row>
      <xdr:rowOff>65809</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96982" y="312593"/>
          <a:ext cx="9725025" cy="9447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134376</xdr:colOff>
      <xdr:row>109</xdr:row>
      <xdr:rowOff>65676</xdr:rowOff>
    </xdr:from>
    <xdr:to>
      <xdr:col>4</xdr:col>
      <xdr:colOff>697591</xdr:colOff>
      <xdr:row>123</xdr:row>
      <xdr:rowOff>64232</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
        <a:srcRect t="927" r="703"/>
        <a:stretch/>
      </xdr:blipFill>
      <xdr:spPr>
        <a:xfrm>
          <a:off x="170235" y="21428570"/>
          <a:ext cx="4803521" cy="2625215"/>
        </a:xfrm>
        <a:prstGeom prst="rect">
          <a:avLst/>
        </a:prstGeom>
      </xdr:spPr>
    </xdr:pic>
    <xdr:clientData/>
  </xdr:twoCellAnchor>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2"/>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LM5066I PMBus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LM5066I datasheet for more detail.</a:t>
          </a:r>
        </a:p>
      </xdr:txBody>
    </xdr:sp>
    <xdr:clientData/>
  </xdr:twoCellAnchor>
  <xdr:twoCellAnchor>
    <xdr:from>
      <xdr:col>39</xdr:col>
      <xdr:colOff>0</xdr:colOff>
      <xdr:row>44</xdr:row>
      <xdr:rowOff>0</xdr:rowOff>
    </xdr:from>
    <xdr:to>
      <xdr:col>39</xdr:col>
      <xdr:colOff>0</xdr:colOff>
      <xdr:row>51</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0</xdr:col>
      <xdr:colOff>76200</xdr:colOff>
      <xdr:row>0</xdr:row>
      <xdr:rowOff>171450</xdr:rowOff>
    </xdr:from>
    <xdr:to>
      <xdr:col>1</xdr:col>
      <xdr:colOff>1667212</xdr:colOff>
      <xdr:row>0</xdr:row>
      <xdr:rowOff>609600</xdr:rowOff>
    </xdr:to>
    <xdr:pic>
      <xdr:nvPicPr>
        <xdr:cNvPr id="10" name="Picture 9">
          <a:hlinkClick xmlns:r="http://schemas.openxmlformats.org/officeDocument/2006/relationships" r:id="rId3"/>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146</xdr:row>
      <xdr:rowOff>95251</xdr:rowOff>
    </xdr:from>
    <xdr:to>
      <xdr:col>10</xdr:col>
      <xdr:colOff>624559</xdr:colOff>
      <xdr:row>146</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278035</xdr:colOff>
      <xdr:row>88</xdr:row>
      <xdr:rowOff>66261</xdr:rowOff>
    </xdr:from>
    <xdr:to>
      <xdr:col>12</xdr:col>
      <xdr:colOff>325531</xdr:colOff>
      <xdr:row>89</xdr:row>
      <xdr:rowOff>74577</xdr:rowOff>
    </xdr:to>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7" cstate="print"/>
        <a:srcRect t="89127"/>
        <a:stretch/>
      </xdr:blipFill>
      <xdr:spPr bwMode="auto">
        <a:xfrm>
          <a:off x="7898035" y="17468022"/>
          <a:ext cx="2797322" cy="198816"/>
        </a:xfrm>
        <a:prstGeom prst="rect">
          <a:avLst/>
        </a:prstGeom>
        <a:noFill/>
      </xdr:spPr>
    </xdr:pic>
    <xdr:clientData/>
  </xdr:twoCellAnchor>
  <xdr:twoCellAnchor editAs="oneCell">
    <xdr:from>
      <xdr:col>8</xdr:col>
      <xdr:colOff>354105</xdr:colOff>
      <xdr:row>101</xdr:row>
      <xdr:rowOff>0</xdr:rowOff>
    </xdr:from>
    <xdr:to>
      <xdr:col>12</xdr:col>
      <xdr:colOff>397249</xdr:colOff>
      <xdr:row>102</xdr:row>
      <xdr:rowOff>20973</xdr:rowOff>
    </xdr:to>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8" cstate="print"/>
        <a:srcRect t="88613"/>
        <a:stretch/>
      </xdr:blipFill>
      <xdr:spPr bwMode="auto">
        <a:xfrm>
          <a:off x="7974105" y="19878261"/>
          <a:ext cx="2792970" cy="211473"/>
        </a:xfrm>
        <a:prstGeom prst="rect">
          <a:avLst/>
        </a:prstGeom>
        <a:noFill/>
      </xdr:spPr>
    </xdr:pic>
    <xdr:clientData/>
  </xdr:twoCellAnchor>
  <xdr:twoCellAnchor>
    <xdr:from>
      <xdr:col>7</xdr:col>
      <xdr:colOff>274321</xdr:colOff>
      <xdr:row>34</xdr:row>
      <xdr:rowOff>76201</xdr:rowOff>
    </xdr:from>
    <xdr:to>
      <xdr:col>38</xdr:col>
      <xdr:colOff>304801</xdr:colOff>
      <xdr:row>50</xdr:row>
      <xdr:rowOff>106681</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8</xdr:col>
      <xdr:colOff>53340</xdr:colOff>
      <xdr:row>26</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51</xdr:row>
      <xdr:rowOff>94131</xdr:rowOff>
    </xdr:from>
    <xdr:to>
      <xdr:col>38</xdr:col>
      <xdr:colOff>215153</xdr:colOff>
      <xdr:row>65</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11</xdr:col>
      <xdr:colOff>434340</xdr:colOff>
      <xdr:row>40</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192079</xdr:colOff>
      <xdr:row>65</xdr:row>
      <xdr:rowOff>125506</xdr:rowOff>
    </xdr:from>
    <xdr:to>
      <xdr:col>38</xdr:col>
      <xdr:colOff>282193</xdr:colOff>
      <xdr:row>76</xdr:row>
      <xdr:rowOff>60610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12</xdr:col>
      <xdr:colOff>662940</xdr:colOff>
      <xdr:row>53</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8</xdr:col>
      <xdr:colOff>536762</xdr:colOff>
      <xdr:row>3</xdr:row>
      <xdr:rowOff>63313</xdr:rowOff>
    </xdr:from>
    <xdr:to>
      <xdr:col>11</xdr:col>
      <xdr:colOff>374587</xdr:colOff>
      <xdr:row>9</xdr:row>
      <xdr:rowOff>169064</xdr:rowOff>
    </xdr:to>
    <xdr:pic>
      <xdr:nvPicPr>
        <xdr:cNvPr id="6" name="Picture 5">
          <a:hlinkClick xmlns:r="http://schemas.openxmlformats.org/officeDocument/2006/relationships" r:id="rId12"/>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3"/>
        <a:stretch>
          <a:fillRect/>
        </a:stretch>
      </xdr:blipFill>
      <xdr:spPr>
        <a:xfrm>
          <a:off x="7699562" y="1196788"/>
          <a:ext cx="1990476" cy="1161905"/>
        </a:xfrm>
        <a:prstGeom prst="rect">
          <a:avLst/>
        </a:prstGeom>
      </xdr:spPr>
    </xdr:pic>
    <xdr:clientData/>
  </xdr:twoCellAnchor>
  <xdr:twoCellAnchor>
    <xdr:from>
      <xdr:col>8</xdr:col>
      <xdr:colOff>405845</xdr:colOff>
      <xdr:row>19</xdr:row>
      <xdr:rowOff>157373</xdr:rowOff>
    </xdr:from>
    <xdr:to>
      <xdr:col>12</xdr:col>
      <xdr:colOff>517904</xdr:colOff>
      <xdr:row>33</xdr:row>
      <xdr:rowOff>39315</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8025845" y="4398069"/>
          <a:ext cx="2861885" cy="2548942"/>
          <a:chOff x="7507942" y="4356356"/>
          <a:chExt cx="2857500" cy="2548942"/>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4"/>
          <a:stretch>
            <a:fillRect/>
          </a:stretch>
        </xdr:blipFill>
        <xdr:spPr>
          <a:xfrm>
            <a:off x="7507942" y="4356356"/>
            <a:ext cx="2857500" cy="2548942"/>
          </a:xfrm>
          <a:prstGeom prst="rect">
            <a:avLst/>
          </a:prstGeom>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61294" y="5154706"/>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397253" y="5038165"/>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clientData/>
  </xdr:twoCellAnchor>
  <xdr:twoCellAnchor editAs="oneCell">
    <xdr:from>
      <xdr:col>8</xdr:col>
      <xdr:colOff>157369</xdr:colOff>
      <xdr:row>78</xdr:row>
      <xdr:rowOff>8282</xdr:rowOff>
    </xdr:from>
    <xdr:to>
      <xdr:col>12</xdr:col>
      <xdr:colOff>493054</xdr:colOff>
      <xdr:row>88</xdr:row>
      <xdr:rowOff>99391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5"/>
        <a:stretch>
          <a:fillRect/>
        </a:stretch>
      </xdr:blipFill>
      <xdr:spPr>
        <a:xfrm>
          <a:off x="7777369" y="15505043"/>
          <a:ext cx="3085511" cy="1996109"/>
        </a:xfrm>
        <a:prstGeom prst="rect">
          <a:avLst/>
        </a:prstGeom>
      </xdr:spPr>
    </xdr:pic>
    <xdr:clientData/>
  </xdr:twoCellAnchor>
  <xdr:twoCellAnchor editAs="oneCell">
    <xdr:from>
      <xdr:col>8</xdr:col>
      <xdr:colOff>152789</xdr:colOff>
      <xdr:row>91</xdr:row>
      <xdr:rowOff>96555</xdr:rowOff>
    </xdr:from>
    <xdr:to>
      <xdr:col>12</xdr:col>
      <xdr:colOff>496957</xdr:colOff>
      <xdr:row>100</xdr:row>
      <xdr:rowOff>165652</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6"/>
        <a:stretch>
          <a:fillRect/>
        </a:stretch>
      </xdr:blipFill>
      <xdr:spPr>
        <a:xfrm>
          <a:off x="7772789" y="18069816"/>
          <a:ext cx="3093994" cy="1783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115</xdr:row>
      <xdr:rowOff>85725</xdr:rowOff>
    </xdr:from>
    <xdr:to>
      <xdr:col>16</xdr:col>
      <xdr:colOff>247650</xdr:colOff>
      <xdr:row>141</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2.46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2.48V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2.46V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164</xdr:row>
      <xdr:rowOff>133350</xdr:rowOff>
    </xdr:from>
    <xdr:to>
      <xdr:col>9</xdr:col>
      <xdr:colOff>276225</xdr:colOff>
      <xdr:row>175</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16</xdr:col>
      <xdr:colOff>333375</xdr:colOff>
      <xdr:row>115</xdr:row>
      <xdr:rowOff>85725</xdr:rowOff>
    </xdr:from>
    <xdr:to>
      <xdr:col>23</xdr:col>
      <xdr:colOff>95250</xdr:colOff>
      <xdr:row>141</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2.48V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- 2.48V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2.46V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- 2.46V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ds/snvs452d/snvs452d.pdf" TargetMode="External"/><Relationship Id="rId1" Type="http://schemas.openxmlformats.org/officeDocument/2006/relationships/hyperlink" Target="http://www.ti.com/lit/gpn/lm5066i"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2"/>
  <sheetViews>
    <sheetView topLeftCell="A25" zoomScale="85" zoomScaleNormal="85" workbookViewId="0">
      <selection activeCell="P18" sqref="P18"/>
    </sheetView>
  </sheetViews>
  <sheetFormatPr defaultRowHeight="12.75" x14ac:dyDescent="0.2"/>
  <cols>
    <col min="16" max="16" width="16.5703125" customWidth="1"/>
  </cols>
  <sheetData>
    <row r="1" spans="1:16" ht="13.5" thickTop="1" x14ac:dyDescent="0.2">
      <c r="A1" s="246"/>
      <c r="B1" s="247"/>
      <c r="C1" s="247"/>
      <c r="D1" s="247"/>
      <c r="E1" s="247"/>
      <c r="F1" s="247"/>
      <c r="G1" s="247"/>
      <c r="H1" s="247"/>
      <c r="I1" s="247"/>
      <c r="J1" s="247"/>
      <c r="K1" s="247"/>
      <c r="L1" s="247"/>
      <c r="M1" s="247"/>
      <c r="N1" s="247"/>
      <c r="O1" s="247"/>
      <c r="P1" s="248"/>
    </row>
    <row r="2" spans="1:16" x14ac:dyDescent="0.2">
      <c r="A2" s="249"/>
      <c r="B2" s="250"/>
      <c r="C2" s="250"/>
      <c r="D2" s="250"/>
      <c r="E2" s="250"/>
      <c r="F2" s="250"/>
      <c r="G2" s="250"/>
      <c r="H2" s="250"/>
      <c r="I2" s="250"/>
      <c r="J2" s="250"/>
      <c r="K2" s="250"/>
      <c r="L2" s="250"/>
      <c r="M2" s="250"/>
      <c r="N2" s="250"/>
      <c r="O2" s="250"/>
      <c r="P2" s="251"/>
    </row>
    <row r="3" spans="1:16" ht="30" x14ac:dyDescent="0.4">
      <c r="A3" s="249"/>
      <c r="B3" s="250"/>
      <c r="C3" s="250"/>
      <c r="D3" s="252"/>
      <c r="E3" s="250"/>
      <c r="F3" s="250"/>
      <c r="G3" s="250"/>
      <c r="H3" s="250"/>
      <c r="I3" s="250"/>
      <c r="J3" s="250"/>
      <c r="K3" s="250"/>
      <c r="L3" s="253"/>
      <c r="M3" s="250"/>
      <c r="N3" s="250"/>
      <c r="O3" s="250"/>
      <c r="P3" s="251"/>
    </row>
    <row r="4" spans="1:16" ht="23.25" x14ac:dyDescent="0.35">
      <c r="A4" s="249"/>
      <c r="B4" s="250"/>
      <c r="C4" s="250"/>
      <c r="D4" s="254"/>
      <c r="E4" s="250"/>
      <c r="F4" s="250"/>
      <c r="G4" s="250"/>
      <c r="H4" s="250"/>
      <c r="I4" s="250"/>
      <c r="J4" s="250"/>
      <c r="K4" s="250"/>
      <c r="L4" s="250"/>
      <c r="M4" s="250"/>
      <c r="N4" s="250"/>
      <c r="O4" s="250"/>
      <c r="P4" s="251"/>
    </row>
    <row r="5" spans="1:16" x14ac:dyDescent="0.2">
      <c r="A5" s="249"/>
      <c r="B5" s="250"/>
      <c r="C5" s="250"/>
      <c r="D5" s="250"/>
      <c r="E5" s="250"/>
      <c r="F5" s="250"/>
      <c r="G5" s="250"/>
      <c r="H5" s="250"/>
      <c r="I5" s="250"/>
      <c r="J5" s="250"/>
      <c r="K5" s="250"/>
      <c r="L5" s="250"/>
      <c r="M5" s="250"/>
      <c r="N5" s="250"/>
      <c r="O5" s="250"/>
      <c r="P5" s="251"/>
    </row>
    <row r="6" spans="1:16" x14ac:dyDescent="0.2">
      <c r="A6" s="249"/>
      <c r="B6" s="250"/>
      <c r="C6" s="250"/>
      <c r="D6" s="250"/>
      <c r="E6" s="250"/>
      <c r="F6" s="250"/>
      <c r="G6" s="250"/>
      <c r="H6" s="250"/>
      <c r="I6" s="250"/>
      <c r="J6" s="250"/>
      <c r="K6" s="250"/>
      <c r="L6" s="250"/>
      <c r="M6" s="250"/>
      <c r="N6" s="250"/>
      <c r="O6" s="250"/>
      <c r="P6" s="251"/>
    </row>
    <row r="7" spans="1:16" ht="15.75" x14ac:dyDescent="0.25">
      <c r="A7" s="249"/>
      <c r="B7" s="250"/>
      <c r="C7" s="250"/>
      <c r="D7" s="250"/>
      <c r="E7" s="250"/>
      <c r="F7" s="250"/>
      <c r="G7" s="250"/>
      <c r="H7" s="250"/>
      <c r="I7" s="250"/>
      <c r="J7" s="250"/>
      <c r="K7" s="250"/>
      <c r="L7" s="250"/>
      <c r="M7" s="253" t="s">
        <v>480</v>
      </c>
      <c r="N7" s="250"/>
      <c r="O7" s="250"/>
      <c r="P7" s="251"/>
    </row>
    <row r="8" spans="1:16" ht="30" x14ac:dyDescent="0.4">
      <c r="A8" s="249"/>
      <c r="B8" s="252" t="s">
        <v>508</v>
      </c>
      <c r="C8" s="250"/>
      <c r="D8" s="250"/>
      <c r="E8" s="250"/>
      <c r="F8" s="250"/>
      <c r="G8" s="250"/>
      <c r="H8" s="250"/>
      <c r="I8" s="250"/>
      <c r="J8" s="250"/>
      <c r="K8" s="250"/>
      <c r="L8" s="250"/>
      <c r="M8" s="250"/>
      <c r="N8" s="250"/>
      <c r="O8" s="250"/>
      <c r="P8" s="251"/>
    </row>
    <row r="9" spans="1:16" x14ac:dyDescent="0.2">
      <c r="A9" s="249"/>
      <c r="B9" s="250"/>
      <c r="C9" s="250"/>
      <c r="D9" s="250"/>
      <c r="E9" s="250"/>
      <c r="F9" s="250"/>
      <c r="G9" s="250"/>
      <c r="H9" s="250"/>
      <c r="I9" s="250"/>
      <c r="J9" s="250"/>
      <c r="K9" s="250"/>
      <c r="L9" s="250"/>
      <c r="M9" s="250"/>
      <c r="N9" s="250"/>
      <c r="O9" s="250"/>
      <c r="P9" s="251"/>
    </row>
    <row r="10" spans="1:16" ht="20.25" x14ac:dyDescent="0.3">
      <c r="A10" s="249"/>
      <c r="B10" s="255" t="s">
        <v>473</v>
      </c>
      <c r="C10" s="256"/>
      <c r="D10" s="256"/>
      <c r="E10" s="256"/>
      <c r="F10" s="250"/>
      <c r="G10" s="250"/>
      <c r="H10" s="250"/>
      <c r="I10" s="250"/>
      <c r="J10" s="250"/>
      <c r="K10" s="250"/>
      <c r="L10" s="250"/>
      <c r="M10" s="250"/>
      <c r="N10" s="250"/>
      <c r="O10" s="250"/>
      <c r="P10" s="251"/>
    </row>
    <row r="11" spans="1:16" ht="14.25" x14ac:dyDescent="0.2">
      <c r="A11" s="249"/>
      <c r="B11" s="257" t="s">
        <v>474</v>
      </c>
      <c r="C11" s="258"/>
      <c r="D11" s="258"/>
      <c r="E11" s="258"/>
      <c r="F11" s="250"/>
      <c r="G11" s="250"/>
      <c r="H11" s="250"/>
      <c r="I11" s="250"/>
      <c r="J11" s="250"/>
      <c r="K11" s="250"/>
      <c r="L11" s="250"/>
      <c r="M11" s="250"/>
      <c r="N11" s="250"/>
      <c r="O11" s="250"/>
      <c r="P11" s="251"/>
    </row>
    <row r="12" spans="1:16" ht="14.25" x14ac:dyDescent="0.2">
      <c r="A12" s="249"/>
      <c r="B12" s="257" t="s">
        <v>475</v>
      </c>
      <c r="C12" s="258"/>
      <c r="D12" s="258"/>
      <c r="E12" s="258"/>
      <c r="F12" s="250"/>
      <c r="G12" s="250"/>
      <c r="H12" s="250"/>
      <c r="I12" s="250"/>
      <c r="J12" s="250"/>
      <c r="K12" s="250"/>
      <c r="L12" s="250"/>
      <c r="M12" s="250"/>
      <c r="N12" s="250"/>
      <c r="O12" s="250"/>
      <c r="P12" s="251"/>
    </row>
    <row r="13" spans="1:16" x14ac:dyDescent="0.2">
      <c r="A13" s="249"/>
      <c r="B13" s="256"/>
      <c r="C13" s="256"/>
      <c r="D13" s="256"/>
      <c r="E13" s="256"/>
      <c r="F13" s="250"/>
      <c r="G13" s="250"/>
      <c r="H13" s="250"/>
      <c r="I13" s="250"/>
      <c r="J13" s="250"/>
      <c r="K13" s="250"/>
      <c r="L13" s="250"/>
      <c r="M13" s="250"/>
      <c r="N13" s="250"/>
      <c r="O13" s="250"/>
      <c r="P13" s="251"/>
    </row>
    <row r="14" spans="1:16" s="272" customFormat="1" x14ac:dyDescent="0.2">
      <c r="A14" s="249"/>
      <c r="B14" s="288" t="s">
        <v>509</v>
      </c>
      <c r="C14" s="256"/>
      <c r="D14" s="256"/>
      <c r="E14" s="256"/>
      <c r="F14" s="250"/>
      <c r="G14" s="250"/>
      <c r="H14" s="250"/>
      <c r="I14" s="250"/>
      <c r="J14" s="250"/>
      <c r="K14" s="250"/>
      <c r="L14" s="250"/>
      <c r="M14" s="250"/>
      <c r="N14" s="250"/>
      <c r="O14" s="250"/>
      <c r="P14" s="251"/>
    </row>
    <row r="15" spans="1:16" x14ac:dyDescent="0.2">
      <c r="A15" s="249"/>
      <c r="B15" s="295" t="s">
        <v>510</v>
      </c>
      <c r="C15" s="296"/>
      <c r="D15" s="296"/>
      <c r="E15" s="296"/>
      <c r="F15" s="296"/>
      <c r="G15" s="296"/>
      <c r="H15" s="296"/>
      <c r="I15" s="296"/>
      <c r="J15" s="250"/>
      <c r="K15" s="250"/>
      <c r="L15" s="250"/>
      <c r="M15" s="250"/>
      <c r="N15" s="250"/>
      <c r="O15" s="250"/>
      <c r="P15" s="251"/>
    </row>
    <row r="16" spans="1:16" x14ac:dyDescent="0.2">
      <c r="A16" s="249"/>
      <c r="B16" s="288"/>
      <c r="C16" s="256"/>
      <c r="D16" s="256"/>
      <c r="E16" s="256"/>
      <c r="F16" s="250"/>
      <c r="G16" s="250"/>
      <c r="H16" s="250"/>
      <c r="I16" s="250"/>
      <c r="J16" s="250"/>
      <c r="K16" s="250"/>
      <c r="L16" s="250"/>
      <c r="M16" s="250"/>
      <c r="N16" s="250"/>
      <c r="O16" s="250"/>
      <c r="P16" s="251"/>
    </row>
    <row r="17" spans="1:16" x14ac:dyDescent="0.2">
      <c r="A17" s="249"/>
      <c r="B17" s="259" t="s">
        <v>476</v>
      </c>
      <c r="C17" s="256"/>
      <c r="D17" s="256"/>
      <c r="E17" s="256"/>
      <c r="F17" s="250"/>
      <c r="G17" s="250"/>
      <c r="H17" s="250"/>
      <c r="I17" s="250"/>
      <c r="J17" s="250"/>
      <c r="K17" s="250"/>
      <c r="L17" s="250"/>
      <c r="M17" s="250"/>
      <c r="N17" s="250"/>
      <c r="O17" s="250"/>
      <c r="P17" s="251"/>
    </row>
    <row r="18" spans="1:16" x14ac:dyDescent="0.2">
      <c r="A18" s="249"/>
      <c r="B18" s="260" t="s">
        <v>490</v>
      </c>
      <c r="C18" s="256"/>
      <c r="D18" s="256"/>
      <c r="E18" s="256"/>
      <c r="F18" s="250"/>
      <c r="G18" s="250"/>
      <c r="H18" s="250"/>
      <c r="I18" s="250"/>
      <c r="J18" s="250"/>
      <c r="K18" s="250"/>
      <c r="L18" s="250"/>
      <c r="M18" s="250"/>
      <c r="N18" s="250"/>
      <c r="O18" s="250"/>
      <c r="P18" s="251"/>
    </row>
    <row r="19" spans="1:16" x14ac:dyDescent="0.2">
      <c r="A19" s="249"/>
      <c r="B19" s="260" t="s">
        <v>489</v>
      </c>
      <c r="C19" s="256"/>
      <c r="D19" s="256"/>
      <c r="E19" s="256"/>
      <c r="F19" s="250"/>
      <c r="G19" s="250"/>
      <c r="H19" s="250"/>
      <c r="I19" s="250"/>
      <c r="J19" s="250"/>
      <c r="K19" s="250"/>
      <c r="L19" s="250"/>
      <c r="M19" s="250"/>
      <c r="N19" s="250"/>
      <c r="O19" s="250"/>
      <c r="P19" s="251"/>
    </row>
    <row r="20" spans="1:16" x14ac:dyDescent="0.2">
      <c r="A20" s="249"/>
      <c r="B20" s="260" t="s">
        <v>488</v>
      </c>
      <c r="C20" s="256"/>
      <c r="D20" s="256"/>
      <c r="E20" s="256"/>
      <c r="F20" s="250"/>
      <c r="G20" s="250"/>
      <c r="H20" s="250"/>
      <c r="I20" s="250"/>
      <c r="J20" s="250"/>
      <c r="K20" s="250"/>
      <c r="L20" s="250"/>
      <c r="M20" s="250"/>
      <c r="N20" s="250"/>
      <c r="O20" s="250"/>
      <c r="P20" s="251"/>
    </row>
    <row r="21" spans="1:16" x14ac:dyDescent="0.2">
      <c r="A21" s="249"/>
      <c r="B21" s="260" t="s">
        <v>484</v>
      </c>
      <c r="C21" s="256"/>
      <c r="D21" s="256"/>
      <c r="E21" s="256"/>
      <c r="F21" s="250"/>
      <c r="G21" s="250"/>
      <c r="H21" s="250"/>
      <c r="I21" s="250"/>
      <c r="J21" s="250"/>
      <c r="K21" s="250"/>
      <c r="L21" s="250"/>
      <c r="M21" s="250"/>
      <c r="N21" s="250"/>
      <c r="O21" s="250"/>
      <c r="P21" s="251"/>
    </row>
    <row r="22" spans="1:16" x14ac:dyDescent="0.2">
      <c r="A22" s="249"/>
      <c r="B22" s="260" t="s">
        <v>487</v>
      </c>
      <c r="C22" s="256"/>
      <c r="D22" s="256"/>
      <c r="E22" s="256"/>
      <c r="F22" s="250"/>
      <c r="G22" s="250"/>
      <c r="H22" s="250"/>
      <c r="I22" s="250"/>
      <c r="J22" s="250"/>
      <c r="K22" s="250"/>
      <c r="L22" s="250"/>
      <c r="M22" s="250"/>
      <c r="N22" s="250"/>
      <c r="O22" s="250"/>
      <c r="P22" s="251"/>
    </row>
    <row r="23" spans="1:16" x14ac:dyDescent="0.2">
      <c r="A23" s="249"/>
      <c r="B23" s="260" t="s">
        <v>485</v>
      </c>
      <c r="C23" s="256"/>
      <c r="D23" s="256"/>
      <c r="E23" s="256"/>
      <c r="F23" s="250"/>
      <c r="G23" s="250"/>
      <c r="H23" s="250"/>
      <c r="I23" s="250"/>
      <c r="J23" s="250"/>
      <c r="K23" s="250"/>
      <c r="L23" s="250"/>
      <c r="M23" s="250"/>
      <c r="N23" s="250"/>
      <c r="O23" s="250"/>
      <c r="P23" s="251"/>
    </row>
    <row r="24" spans="1:16" x14ac:dyDescent="0.2">
      <c r="A24" s="249"/>
      <c r="B24" s="260" t="s">
        <v>486</v>
      </c>
      <c r="C24" s="256"/>
      <c r="D24" s="256"/>
      <c r="E24" s="256"/>
      <c r="F24" s="250"/>
      <c r="G24" s="250"/>
      <c r="H24" s="250"/>
      <c r="I24" s="250"/>
      <c r="J24" s="250"/>
      <c r="K24" s="250"/>
      <c r="L24" s="250"/>
      <c r="M24" s="250"/>
      <c r="N24" s="250"/>
      <c r="O24" s="250"/>
      <c r="P24" s="251"/>
    </row>
    <row r="25" spans="1:16" x14ac:dyDescent="0.2">
      <c r="A25" s="249"/>
      <c r="B25" s="260"/>
      <c r="C25" s="256"/>
      <c r="D25" s="256"/>
      <c r="E25" s="256"/>
      <c r="F25" s="250"/>
      <c r="G25" s="250"/>
      <c r="H25" s="250"/>
      <c r="I25" s="250"/>
      <c r="J25" s="250"/>
      <c r="K25" s="250"/>
      <c r="L25" s="250"/>
      <c r="M25" s="250"/>
      <c r="N25" s="250"/>
      <c r="O25" s="250"/>
      <c r="P25" s="251"/>
    </row>
    <row r="26" spans="1:16" ht="20.25" x14ac:dyDescent="0.3">
      <c r="A26" s="249"/>
      <c r="B26" s="255" t="s">
        <v>477</v>
      </c>
      <c r="C26" s="250"/>
      <c r="D26" s="250"/>
      <c r="E26" s="250"/>
      <c r="F26" s="250"/>
      <c r="G26" s="250"/>
      <c r="H26" s="250"/>
      <c r="I26" s="250"/>
      <c r="J26" s="250"/>
      <c r="K26" s="250"/>
      <c r="L26" s="250"/>
      <c r="M26" s="250"/>
      <c r="N26" s="250"/>
      <c r="O26" s="250"/>
      <c r="P26" s="251"/>
    </row>
    <row r="27" spans="1:16" x14ac:dyDescent="0.2">
      <c r="A27" s="249"/>
      <c r="B27" s="261" t="s">
        <v>483</v>
      </c>
      <c r="C27" s="250"/>
      <c r="D27" s="250"/>
      <c r="E27" s="250"/>
      <c r="F27" s="250"/>
      <c r="G27" s="250"/>
      <c r="H27" s="250"/>
      <c r="I27" s="250"/>
      <c r="J27" s="250"/>
      <c r="K27" s="250"/>
      <c r="L27" s="250"/>
      <c r="M27" s="250"/>
      <c r="N27" s="250"/>
      <c r="O27" s="250"/>
      <c r="P27" s="251"/>
    </row>
    <row r="28" spans="1:16" x14ac:dyDescent="0.2">
      <c r="A28" s="249"/>
      <c r="B28" s="250" t="s">
        <v>478</v>
      </c>
      <c r="C28" s="250"/>
      <c r="D28" s="250"/>
      <c r="E28" s="250"/>
      <c r="F28" s="250"/>
      <c r="G28" s="250"/>
      <c r="H28" s="250"/>
      <c r="I28" s="250"/>
      <c r="J28" s="250"/>
      <c r="K28" s="250"/>
      <c r="L28" s="250"/>
      <c r="M28" s="250"/>
      <c r="N28" s="250"/>
      <c r="O28" s="250"/>
      <c r="P28" s="251"/>
    </row>
    <row r="29" spans="1:16" x14ac:dyDescent="0.2">
      <c r="A29" s="249"/>
      <c r="B29" s="250"/>
      <c r="C29" s="250"/>
      <c r="D29" s="250"/>
      <c r="E29" s="250"/>
      <c r="F29" s="250"/>
      <c r="G29" s="250"/>
      <c r="H29" s="250"/>
      <c r="I29" s="250"/>
      <c r="J29" s="250"/>
      <c r="K29" s="250"/>
      <c r="L29" s="250"/>
      <c r="M29" s="250"/>
      <c r="N29" s="250"/>
      <c r="O29" s="250"/>
      <c r="P29" s="251"/>
    </row>
    <row r="30" spans="1:16" x14ac:dyDescent="0.2">
      <c r="A30" s="249"/>
      <c r="B30" s="261" t="s">
        <v>482</v>
      </c>
      <c r="C30" s="250"/>
      <c r="D30" s="250"/>
      <c r="E30" s="250"/>
      <c r="F30" s="250"/>
      <c r="G30" s="250"/>
      <c r="H30" s="250"/>
      <c r="I30" s="250"/>
      <c r="J30" s="250"/>
      <c r="K30" s="250"/>
      <c r="L30" s="250"/>
      <c r="M30" s="250"/>
      <c r="N30" s="250"/>
      <c r="O30" s="250"/>
      <c r="P30" s="251"/>
    </row>
    <row r="31" spans="1:16" x14ac:dyDescent="0.2">
      <c r="A31" s="249"/>
      <c r="B31" s="250"/>
      <c r="C31" s="250"/>
      <c r="D31" s="250"/>
      <c r="E31" s="250"/>
      <c r="F31" s="250"/>
      <c r="G31" s="250"/>
      <c r="H31" s="250"/>
      <c r="I31" s="250"/>
      <c r="J31" s="250"/>
      <c r="K31" s="250"/>
      <c r="L31" s="250"/>
      <c r="M31" s="250"/>
      <c r="N31" s="250"/>
      <c r="O31" s="250"/>
      <c r="P31" s="251"/>
    </row>
    <row r="32" spans="1:16" x14ac:dyDescent="0.2">
      <c r="A32" s="249"/>
      <c r="B32" s="250" t="s">
        <v>479</v>
      </c>
      <c r="C32" s="250"/>
      <c r="D32" s="250"/>
      <c r="E32" s="250"/>
      <c r="F32" s="250"/>
      <c r="G32" s="250"/>
      <c r="H32" s="250"/>
      <c r="I32" s="250"/>
      <c r="J32" s="250"/>
      <c r="K32" s="250"/>
      <c r="L32" s="250"/>
      <c r="M32" s="250"/>
      <c r="N32" s="250"/>
      <c r="O32" s="250"/>
      <c r="P32" s="251"/>
    </row>
    <row r="33" spans="1:16" x14ac:dyDescent="0.2">
      <c r="A33" s="249"/>
      <c r="B33" s="261"/>
      <c r="C33" s="250"/>
      <c r="D33" s="250"/>
      <c r="E33" s="250"/>
      <c r="F33" s="250"/>
      <c r="G33" s="250"/>
      <c r="H33" s="250"/>
      <c r="I33" s="250"/>
      <c r="J33" s="250"/>
      <c r="K33" s="250"/>
      <c r="L33" s="250"/>
      <c r="M33" s="250"/>
      <c r="N33" s="250"/>
      <c r="O33" s="250"/>
      <c r="P33" s="251"/>
    </row>
    <row r="34" spans="1:16" x14ac:dyDescent="0.2">
      <c r="A34" s="249"/>
      <c r="B34" s="250"/>
      <c r="C34" s="250"/>
      <c r="D34" s="250"/>
      <c r="E34" s="250"/>
      <c r="F34" s="250"/>
      <c r="G34" s="250"/>
      <c r="H34" s="250"/>
      <c r="I34" s="250"/>
      <c r="J34" s="250"/>
      <c r="K34" s="250"/>
      <c r="L34" s="250"/>
      <c r="M34" s="250"/>
      <c r="N34" s="250"/>
      <c r="O34" s="250"/>
      <c r="P34" s="251"/>
    </row>
    <row r="35" spans="1:16" ht="13.5" thickBot="1" x14ac:dyDescent="0.25">
      <c r="A35" s="249"/>
      <c r="B35" s="250"/>
      <c r="C35" s="250"/>
      <c r="D35" s="250"/>
      <c r="E35" s="250"/>
      <c r="F35" s="250"/>
      <c r="G35" s="250"/>
      <c r="H35" s="250"/>
      <c r="I35" s="250"/>
      <c r="J35" s="250"/>
      <c r="K35" s="250"/>
      <c r="L35" s="250"/>
      <c r="M35" s="250"/>
      <c r="N35" s="250"/>
      <c r="O35" s="250"/>
      <c r="P35" s="251"/>
    </row>
    <row r="36" spans="1:16" ht="13.9" customHeight="1" x14ac:dyDescent="0.2">
      <c r="A36" s="249"/>
      <c r="B36" s="297" t="s">
        <v>507</v>
      </c>
      <c r="C36" s="298"/>
      <c r="D36" s="298"/>
      <c r="E36" s="298"/>
      <c r="F36" s="298"/>
      <c r="G36" s="298"/>
      <c r="H36" s="298"/>
      <c r="I36" s="298"/>
      <c r="J36" s="298"/>
      <c r="K36" s="298"/>
      <c r="L36" s="298"/>
      <c r="M36" s="299"/>
      <c r="N36" s="250"/>
      <c r="O36" s="250"/>
      <c r="P36" s="251"/>
    </row>
    <row r="37" spans="1:16" ht="13.9" customHeight="1" x14ac:dyDescent="0.2">
      <c r="A37" s="249"/>
      <c r="B37" s="300"/>
      <c r="C37" s="301"/>
      <c r="D37" s="301"/>
      <c r="E37" s="301"/>
      <c r="F37" s="301"/>
      <c r="G37" s="301"/>
      <c r="H37" s="301"/>
      <c r="I37" s="301"/>
      <c r="J37" s="301"/>
      <c r="K37" s="301"/>
      <c r="L37" s="301"/>
      <c r="M37" s="302"/>
      <c r="N37" s="250"/>
      <c r="O37" s="250"/>
      <c r="P37" s="251"/>
    </row>
    <row r="38" spans="1:16" ht="13.9" customHeight="1" x14ac:dyDescent="0.2">
      <c r="A38" s="249"/>
      <c r="B38" s="300"/>
      <c r="C38" s="301"/>
      <c r="D38" s="301"/>
      <c r="E38" s="301"/>
      <c r="F38" s="301"/>
      <c r="G38" s="301"/>
      <c r="H38" s="301"/>
      <c r="I38" s="301"/>
      <c r="J38" s="301"/>
      <c r="K38" s="301"/>
      <c r="L38" s="301"/>
      <c r="M38" s="302"/>
      <c r="N38" s="250"/>
      <c r="O38" s="250"/>
      <c r="P38" s="251"/>
    </row>
    <row r="39" spans="1:16" ht="13.9" customHeight="1" x14ac:dyDescent="0.2">
      <c r="A39" s="249"/>
      <c r="B39" s="300"/>
      <c r="C39" s="301"/>
      <c r="D39" s="301"/>
      <c r="E39" s="301"/>
      <c r="F39" s="301"/>
      <c r="G39" s="301"/>
      <c r="H39" s="301"/>
      <c r="I39" s="301"/>
      <c r="J39" s="301"/>
      <c r="K39" s="301"/>
      <c r="L39" s="301"/>
      <c r="M39" s="302"/>
      <c r="N39" s="250"/>
      <c r="O39" s="250"/>
      <c r="P39" s="251"/>
    </row>
    <row r="40" spans="1:16" ht="13.9" customHeight="1" x14ac:dyDescent="0.2">
      <c r="A40" s="249"/>
      <c r="B40" s="300"/>
      <c r="C40" s="301"/>
      <c r="D40" s="301"/>
      <c r="E40" s="301"/>
      <c r="F40" s="301"/>
      <c r="G40" s="301"/>
      <c r="H40" s="301"/>
      <c r="I40" s="301"/>
      <c r="J40" s="301"/>
      <c r="K40" s="301"/>
      <c r="L40" s="301"/>
      <c r="M40" s="302"/>
      <c r="N40" s="250"/>
      <c r="O40" s="250"/>
      <c r="P40" s="251"/>
    </row>
    <row r="41" spans="1:16" ht="13.9" customHeight="1" x14ac:dyDescent="0.2">
      <c r="A41" s="249"/>
      <c r="B41" s="300"/>
      <c r="C41" s="301"/>
      <c r="D41" s="301"/>
      <c r="E41" s="301"/>
      <c r="F41" s="301"/>
      <c r="G41" s="301"/>
      <c r="H41" s="301"/>
      <c r="I41" s="301"/>
      <c r="J41" s="301"/>
      <c r="K41" s="301"/>
      <c r="L41" s="301"/>
      <c r="M41" s="302"/>
      <c r="N41" s="250"/>
      <c r="O41" s="250"/>
      <c r="P41" s="251"/>
    </row>
    <row r="42" spans="1:16" ht="13.9" customHeight="1" x14ac:dyDescent="0.2">
      <c r="A42" s="249"/>
      <c r="B42" s="300"/>
      <c r="C42" s="301"/>
      <c r="D42" s="301"/>
      <c r="E42" s="301"/>
      <c r="F42" s="301"/>
      <c r="G42" s="301"/>
      <c r="H42" s="301"/>
      <c r="I42" s="301"/>
      <c r="J42" s="301"/>
      <c r="K42" s="301"/>
      <c r="L42" s="301"/>
      <c r="M42" s="302"/>
      <c r="N42" s="250"/>
      <c r="O42" s="250"/>
      <c r="P42" s="251"/>
    </row>
    <row r="43" spans="1:16" ht="13.9" customHeight="1" x14ac:dyDescent="0.2">
      <c r="A43" s="249"/>
      <c r="B43" s="300"/>
      <c r="C43" s="301"/>
      <c r="D43" s="301"/>
      <c r="E43" s="301"/>
      <c r="F43" s="301"/>
      <c r="G43" s="301"/>
      <c r="H43" s="301"/>
      <c r="I43" s="301"/>
      <c r="J43" s="301"/>
      <c r="K43" s="301"/>
      <c r="L43" s="301"/>
      <c r="M43" s="302"/>
      <c r="N43" s="250"/>
      <c r="O43" s="250"/>
      <c r="P43" s="251"/>
    </row>
    <row r="44" spans="1:16" ht="13.9" customHeight="1" x14ac:dyDescent="0.2">
      <c r="A44" s="249"/>
      <c r="B44" s="300"/>
      <c r="C44" s="301"/>
      <c r="D44" s="301"/>
      <c r="E44" s="301"/>
      <c r="F44" s="301"/>
      <c r="G44" s="301"/>
      <c r="H44" s="301"/>
      <c r="I44" s="301"/>
      <c r="J44" s="301"/>
      <c r="K44" s="301"/>
      <c r="L44" s="301"/>
      <c r="M44" s="302"/>
      <c r="N44" s="250"/>
      <c r="O44" s="250"/>
      <c r="P44" s="251"/>
    </row>
    <row r="45" spans="1:16" ht="13.9" customHeight="1" x14ac:dyDescent="0.2">
      <c r="A45" s="249"/>
      <c r="B45" s="300"/>
      <c r="C45" s="301"/>
      <c r="D45" s="301"/>
      <c r="E45" s="301"/>
      <c r="F45" s="301"/>
      <c r="G45" s="301"/>
      <c r="H45" s="301"/>
      <c r="I45" s="301"/>
      <c r="J45" s="301"/>
      <c r="K45" s="301"/>
      <c r="L45" s="301"/>
      <c r="M45" s="302"/>
      <c r="N45" s="250"/>
      <c r="O45" s="250"/>
      <c r="P45" s="251"/>
    </row>
    <row r="46" spans="1:16" ht="13.9" customHeight="1" x14ac:dyDescent="0.2">
      <c r="A46" s="249"/>
      <c r="B46" s="300"/>
      <c r="C46" s="301"/>
      <c r="D46" s="301"/>
      <c r="E46" s="301"/>
      <c r="F46" s="301"/>
      <c r="G46" s="301"/>
      <c r="H46" s="301"/>
      <c r="I46" s="301"/>
      <c r="J46" s="301"/>
      <c r="K46" s="301"/>
      <c r="L46" s="301"/>
      <c r="M46" s="302"/>
      <c r="N46" s="250"/>
      <c r="O46" s="250"/>
      <c r="P46" s="251"/>
    </row>
    <row r="47" spans="1:16" ht="13.9" customHeight="1" x14ac:dyDescent="0.2">
      <c r="A47" s="249"/>
      <c r="B47" s="300"/>
      <c r="C47" s="301"/>
      <c r="D47" s="301"/>
      <c r="E47" s="301"/>
      <c r="F47" s="301"/>
      <c r="G47" s="301"/>
      <c r="H47" s="301"/>
      <c r="I47" s="301"/>
      <c r="J47" s="301"/>
      <c r="K47" s="301"/>
      <c r="L47" s="301"/>
      <c r="M47" s="302"/>
      <c r="N47" s="250"/>
      <c r="O47" s="250"/>
      <c r="P47" s="251"/>
    </row>
    <row r="48" spans="1:16" ht="13.9" customHeight="1" x14ac:dyDescent="0.2">
      <c r="A48" s="249"/>
      <c r="B48" s="300"/>
      <c r="C48" s="301"/>
      <c r="D48" s="301"/>
      <c r="E48" s="301"/>
      <c r="F48" s="301"/>
      <c r="G48" s="301"/>
      <c r="H48" s="301"/>
      <c r="I48" s="301"/>
      <c r="J48" s="301"/>
      <c r="K48" s="301"/>
      <c r="L48" s="301"/>
      <c r="M48" s="302"/>
      <c r="N48" s="250"/>
      <c r="O48" s="250"/>
      <c r="P48" s="251"/>
    </row>
    <row r="49" spans="1:16" ht="13.9" customHeight="1" x14ac:dyDescent="0.2">
      <c r="A49" s="249"/>
      <c r="B49" s="300"/>
      <c r="C49" s="301"/>
      <c r="D49" s="301"/>
      <c r="E49" s="301"/>
      <c r="F49" s="301"/>
      <c r="G49" s="301"/>
      <c r="H49" s="301"/>
      <c r="I49" s="301"/>
      <c r="J49" s="301"/>
      <c r="K49" s="301"/>
      <c r="L49" s="301"/>
      <c r="M49" s="302"/>
      <c r="N49" s="250"/>
      <c r="O49" s="250"/>
      <c r="P49" s="251"/>
    </row>
    <row r="50" spans="1:16" ht="13.9" customHeight="1" x14ac:dyDescent="0.2">
      <c r="A50" s="249"/>
      <c r="B50" s="300"/>
      <c r="C50" s="301"/>
      <c r="D50" s="301"/>
      <c r="E50" s="301"/>
      <c r="F50" s="301"/>
      <c r="G50" s="301"/>
      <c r="H50" s="301"/>
      <c r="I50" s="301"/>
      <c r="J50" s="301"/>
      <c r="K50" s="301"/>
      <c r="L50" s="301"/>
      <c r="M50" s="302"/>
      <c r="N50" s="250"/>
      <c r="O50" s="250"/>
      <c r="P50" s="251"/>
    </row>
    <row r="51" spans="1:16" ht="13.9" customHeight="1" x14ac:dyDescent="0.2">
      <c r="A51" s="249"/>
      <c r="B51" s="300"/>
      <c r="C51" s="301"/>
      <c r="D51" s="301"/>
      <c r="E51" s="301"/>
      <c r="F51" s="301"/>
      <c r="G51" s="301"/>
      <c r="H51" s="301"/>
      <c r="I51" s="301"/>
      <c r="J51" s="301"/>
      <c r="K51" s="301"/>
      <c r="L51" s="301"/>
      <c r="M51" s="302"/>
      <c r="N51" s="250"/>
      <c r="O51" s="250"/>
      <c r="P51" s="251"/>
    </row>
    <row r="52" spans="1:16" ht="13.9" customHeight="1" x14ac:dyDescent="0.2">
      <c r="A52" s="249"/>
      <c r="B52" s="300"/>
      <c r="C52" s="301"/>
      <c r="D52" s="301"/>
      <c r="E52" s="301"/>
      <c r="F52" s="301"/>
      <c r="G52" s="301"/>
      <c r="H52" s="301"/>
      <c r="I52" s="301"/>
      <c r="J52" s="301"/>
      <c r="K52" s="301"/>
      <c r="L52" s="301"/>
      <c r="M52" s="302"/>
      <c r="N52" s="250"/>
      <c r="O52" s="250"/>
      <c r="P52" s="251"/>
    </row>
    <row r="53" spans="1:16" ht="13.9" customHeight="1" x14ac:dyDescent="0.2">
      <c r="A53" s="249"/>
      <c r="B53" s="300"/>
      <c r="C53" s="301"/>
      <c r="D53" s="301"/>
      <c r="E53" s="301"/>
      <c r="F53" s="301"/>
      <c r="G53" s="301"/>
      <c r="H53" s="301"/>
      <c r="I53" s="301"/>
      <c r="J53" s="301"/>
      <c r="K53" s="301"/>
      <c r="L53" s="301"/>
      <c r="M53" s="302"/>
      <c r="N53" s="250"/>
      <c r="O53" s="250"/>
      <c r="P53" s="251"/>
    </row>
    <row r="54" spans="1:16" ht="13.9" customHeight="1" x14ac:dyDescent="0.2">
      <c r="A54" s="249"/>
      <c r="B54" s="300"/>
      <c r="C54" s="301"/>
      <c r="D54" s="301"/>
      <c r="E54" s="301"/>
      <c r="F54" s="301"/>
      <c r="G54" s="301"/>
      <c r="H54" s="301"/>
      <c r="I54" s="301"/>
      <c r="J54" s="301"/>
      <c r="K54" s="301"/>
      <c r="L54" s="301"/>
      <c r="M54" s="302"/>
      <c r="N54" s="250"/>
      <c r="O54" s="250"/>
      <c r="P54" s="251"/>
    </row>
    <row r="55" spans="1:16" ht="13.9" customHeight="1" x14ac:dyDescent="0.2">
      <c r="A55" s="249"/>
      <c r="B55" s="300"/>
      <c r="C55" s="301"/>
      <c r="D55" s="301"/>
      <c r="E55" s="301"/>
      <c r="F55" s="301"/>
      <c r="G55" s="301"/>
      <c r="H55" s="301"/>
      <c r="I55" s="301"/>
      <c r="J55" s="301"/>
      <c r="K55" s="301"/>
      <c r="L55" s="301"/>
      <c r="M55" s="302"/>
      <c r="N55" s="250"/>
      <c r="O55" s="250"/>
      <c r="P55" s="251"/>
    </row>
    <row r="56" spans="1:16" ht="13.9" customHeight="1" x14ac:dyDescent="0.2">
      <c r="A56" s="249"/>
      <c r="B56" s="300"/>
      <c r="C56" s="301"/>
      <c r="D56" s="301"/>
      <c r="E56" s="301"/>
      <c r="F56" s="301"/>
      <c r="G56" s="301"/>
      <c r="H56" s="301"/>
      <c r="I56" s="301"/>
      <c r="J56" s="301"/>
      <c r="K56" s="301"/>
      <c r="L56" s="301"/>
      <c r="M56" s="302"/>
      <c r="N56" s="250"/>
      <c r="O56" s="250"/>
      <c r="P56" s="251"/>
    </row>
    <row r="57" spans="1:16" ht="13.9" customHeight="1" x14ac:dyDescent="0.2">
      <c r="A57" s="249"/>
      <c r="B57" s="300"/>
      <c r="C57" s="301"/>
      <c r="D57" s="301"/>
      <c r="E57" s="301"/>
      <c r="F57" s="301"/>
      <c r="G57" s="301"/>
      <c r="H57" s="301"/>
      <c r="I57" s="301"/>
      <c r="J57" s="301"/>
      <c r="K57" s="301"/>
      <c r="L57" s="301"/>
      <c r="M57" s="302"/>
      <c r="N57" s="250"/>
      <c r="O57" s="250"/>
      <c r="P57" s="251"/>
    </row>
    <row r="58" spans="1:16" ht="13.9" customHeight="1" x14ac:dyDescent="0.2">
      <c r="A58" s="249"/>
      <c r="B58" s="300"/>
      <c r="C58" s="301"/>
      <c r="D58" s="301"/>
      <c r="E58" s="301"/>
      <c r="F58" s="301"/>
      <c r="G58" s="301"/>
      <c r="H58" s="301"/>
      <c r="I58" s="301"/>
      <c r="J58" s="301"/>
      <c r="K58" s="301"/>
      <c r="L58" s="301"/>
      <c r="M58" s="302"/>
      <c r="N58" s="250"/>
      <c r="O58" s="250"/>
      <c r="P58" s="251"/>
    </row>
    <row r="59" spans="1:16" ht="13.9" customHeight="1" x14ac:dyDescent="0.2">
      <c r="A59" s="249"/>
      <c r="B59" s="300"/>
      <c r="C59" s="301"/>
      <c r="D59" s="301"/>
      <c r="E59" s="301"/>
      <c r="F59" s="301"/>
      <c r="G59" s="301"/>
      <c r="H59" s="301"/>
      <c r="I59" s="301"/>
      <c r="J59" s="301"/>
      <c r="K59" s="301"/>
      <c r="L59" s="301"/>
      <c r="M59" s="302"/>
      <c r="N59" s="250"/>
      <c r="O59" s="250"/>
      <c r="P59" s="251"/>
    </row>
    <row r="60" spans="1:16" ht="13.9" customHeight="1" x14ac:dyDescent="0.2">
      <c r="A60" s="249"/>
      <c r="B60" s="300"/>
      <c r="C60" s="301"/>
      <c r="D60" s="301"/>
      <c r="E60" s="301"/>
      <c r="F60" s="301"/>
      <c r="G60" s="301"/>
      <c r="H60" s="301"/>
      <c r="I60" s="301"/>
      <c r="J60" s="301"/>
      <c r="K60" s="301"/>
      <c r="L60" s="301"/>
      <c r="M60" s="302"/>
      <c r="N60" s="250"/>
      <c r="O60" s="250"/>
      <c r="P60" s="251"/>
    </row>
    <row r="61" spans="1:16" ht="13.9" customHeight="1" x14ac:dyDescent="0.2">
      <c r="A61" s="249"/>
      <c r="B61" s="300"/>
      <c r="C61" s="301"/>
      <c r="D61" s="301"/>
      <c r="E61" s="301"/>
      <c r="F61" s="301"/>
      <c r="G61" s="301"/>
      <c r="H61" s="301"/>
      <c r="I61" s="301"/>
      <c r="J61" s="301"/>
      <c r="K61" s="301"/>
      <c r="L61" s="301"/>
      <c r="M61" s="302"/>
      <c r="N61" s="250"/>
      <c r="O61" s="250"/>
      <c r="P61" s="251"/>
    </row>
    <row r="62" spans="1:16" ht="13.15" customHeight="1" x14ac:dyDescent="0.2">
      <c r="A62" s="249"/>
      <c r="B62" s="300"/>
      <c r="C62" s="301"/>
      <c r="D62" s="301"/>
      <c r="E62" s="301"/>
      <c r="F62" s="301"/>
      <c r="G62" s="301"/>
      <c r="H62" s="301"/>
      <c r="I62" s="301"/>
      <c r="J62" s="301"/>
      <c r="K62" s="301"/>
      <c r="L62" s="301"/>
      <c r="M62" s="302"/>
      <c r="N62" s="250"/>
      <c r="O62" s="250"/>
      <c r="P62" s="251"/>
    </row>
    <row r="63" spans="1:16" ht="13.15" customHeight="1" x14ac:dyDescent="0.2">
      <c r="A63" s="249"/>
      <c r="B63" s="300"/>
      <c r="C63" s="301"/>
      <c r="D63" s="301"/>
      <c r="E63" s="301"/>
      <c r="F63" s="301"/>
      <c r="G63" s="301"/>
      <c r="H63" s="301"/>
      <c r="I63" s="301"/>
      <c r="J63" s="301"/>
      <c r="K63" s="301"/>
      <c r="L63" s="301"/>
      <c r="M63" s="302"/>
      <c r="N63" s="250"/>
      <c r="O63" s="250"/>
      <c r="P63" s="251"/>
    </row>
    <row r="64" spans="1:16" ht="13.15" customHeight="1" x14ac:dyDescent="0.2">
      <c r="A64" s="249"/>
      <c r="B64" s="300"/>
      <c r="C64" s="301"/>
      <c r="D64" s="301"/>
      <c r="E64" s="301"/>
      <c r="F64" s="301"/>
      <c r="G64" s="301"/>
      <c r="H64" s="301"/>
      <c r="I64" s="301"/>
      <c r="J64" s="301"/>
      <c r="K64" s="301"/>
      <c r="L64" s="301"/>
      <c r="M64" s="302"/>
      <c r="N64" s="250"/>
      <c r="O64" s="250"/>
      <c r="P64" s="251"/>
    </row>
    <row r="65" spans="1:16" ht="13.15" customHeight="1" x14ac:dyDescent="0.2">
      <c r="A65" s="249"/>
      <c r="B65" s="300"/>
      <c r="C65" s="301"/>
      <c r="D65" s="301"/>
      <c r="E65" s="301"/>
      <c r="F65" s="301"/>
      <c r="G65" s="301"/>
      <c r="H65" s="301"/>
      <c r="I65" s="301"/>
      <c r="J65" s="301"/>
      <c r="K65" s="301"/>
      <c r="L65" s="301"/>
      <c r="M65" s="302"/>
      <c r="N65" s="250"/>
      <c r="O65" s="250"/>
      <c r="P65" s="251"/>
    </row>
    <row r="66" spans="1:16" ht="13.15" customHeight="1" x14ac:dyDescent="0.2">
      <c r="A66" s="249"/>
      <c r="B66" s="300"/>
      <c r="C66" s="301"/>
      <c r="D66" s="301"/>
      <c r="E66" s="301"/>
      <c r="F66" s="301"/>
      <c r="G66" s="301"/>
      <c r="H66" s="301"/>
      <c r="I66" s="301"/>
      <c r="J66" s="301"/>
      <c r="K66" s="301"/>
      <c r="L66" s="301"/>
      <c r="M66" s="302"/>
      <c r="N66" s="250"/>
      <c r="O66" s="250"/>
      <c r="P66" s="251"/>
    </row>
    <row r="67" spans="1:16" ht="13.15" customHeight="1" x14ac:dyDescent="0.2">
      <c r="A67" s="249"/>
      <c r="B67" s="300"/>
      <c r="C67" s="301"/>
      <c r="D67" s="301"/>
      <c r="E67" s="301"/>
      <c r="F67" s="301"/>
      <c r="G67" s="301"/>
      <c r="H67" s="301"/>
      <c r="I67" s="301"/>
      <c r="J67" s="301"/>
      <c r="K67" s="301"/>
      <c r="L67" s="301"/>
      <c r="M67" s="302"/>
      <c r="N67" s="250"/>
      <c r="O67" s="250"/>
      <c r="P67" s="251"/>
    </row>
    <row r="68" spans="1:16" ht="13.15" customHeight="1" x14ac:dyDescent="0.2">
      <c r="A68" s="249"/>
      <c r="B68" s="300"/>
      <c r="C68" s="301"/>
      <c r="D68" s="301"/>
      <c r="E68" s="301"/>
      <c r="F68" s="301"/>
      <c r="G68" s="301"/>
      <c r="H68" s="301"/>
      <c r="I68" s="301"/>
      <c r="J68" s="301"/>
      <c r="K68" s="301"/>
      <c r="L68" s="301"/>
      <c r="M68" s="302"/>
      <c r="N68" s="250"/>
      <c r="O68" s="250"/>
      <c r="P68" s="251"/>
    </row>
    <row r="69" spans="1:16" ht="13.15" customHeight="1" x14ac:dyDescent="0.2">
      <c r="A69" s="249"/>
      <c r="B69" s="300"/>
      <c r="C69" s="301"/>
      <c r="D69" s="301"/>
      <c r="E69" s="301"/>
      <c r="F69" s="301"/>
      <c r="G69" s="301"/>
      <c r="H69" s="301"/>
      <c r="I69" s="301"/>
      <c r="J69" s="301"/>
      <c r="K69" s="301"/>
      <c r="L69" s="301"/>
      <c r="M69" s="302"/>
      <c r="N69" s="250"/>
      <c r="O69" s="250"/>
      <c r="P69" s="251"/>
    </row>
    <row r="70" spans="1:16" ht="13.15" customHeight="1" x14ac:dyDescent="0.2">
      <c r="A70" s="249"/>
      <c r="B70" s="300"/>
      <c r="C70" s="301"/>
      <c r="D70" s="301"/>
      <c r="E70" s="301"/>
      <c r="F70" s="301"/>
      <c r="G70" s="301"/>
      <c r="H70" s="301"/>
      <c r="I70" s="301"/>
      <c r="J70" s="301"/>
      <c r="K70" s="301"/>
      <c r="L70" s="301"/>
      <c r="M70" s="302"/>
      <c r="N70" s="250"/>
      <c r="O70" s="250"/>
      <c r="P70" s="251"/>
    </row>
    <row r="71" spans="1:16" ht="13.15" customHeight="1" x14ac:dyDescent="0.2">
      <c r="A71" s="249"/>
      <c r="B71" s="300"/>
      <c r="C71" s="301"/>
      <c r="D71" s="301"/>
      <c r="E71" s="301"/>
      <c r="F71" s="301"/>
      <c r="G71" s="301"/>
      <c r="H71" s="301"/>
      <c r="I71" s="301"/>
      <c r="J71" s="301"/>
      <c r="K71" s="301"/>
      <c r="L71" s="301"/>
      <c r="M71" s="302"/>
      <c r="N71" s="250"/>
      <c r="O71" s="250"/>
      <c r="P71" s="251"/>
    </row>
    <row r="72" spans="1:16" ht="13.15" customHeight="1" x14ac:dyDescent="0.2">
      <c r="A72" s="249"/>
      <c r="B72" s="300"/>
      <c r="C72" s="301"/>
      <c r="D72" s="301"/>
      <c r="E72" s="301"/>
      <c r="F72" s="301"/>
      <c r="G72" s="301"/>
      <c r="H72" s="301"/>
      <c r="I72" s="301"/>
      <c r="J72" s="301"/>
      <c r="K72" s="301"/>
      <c r="L72" s="301"/>
      <c r="M72" s="302"/>
      <c r="N72" s="250"/>
      <c r="O72" s="250"/>
      <c r="P72" s="251"/>
    </row>
    <row r="73" spans="1:16" ht="13.15" customHeight="1" x14ac:dyDescent="0.2">
      <c r="A73" s="249"/>
      <c r="B73" s="300"/>
      <c r="C73" s="301"/>
      <c r="D73" s="301"/>
      <c r="E73" s="301"/>
      <c r="F73" s="301"/>
      <c r="G73" s="301"/>
      <c r="H73" s="301"/>
      <c r="I73" s="301"/>
      <c r="J73" s="301"/>
      <c r="K73" s="301"/>
      <c r="L73" s="301"/>
      <c r="M73" s="302"/>
      <c r="N73" s="250"/>
      <c r="O73" s="250"/>
      <c r="P73" s="251"/>
    </row>
    <row r="74" spans="1:16" ht="13.15" customHeight="1" x14ac:dyDescent="0.2">
      <c r="A74" s="249"/>
      <c r="B74" s="300"/>
      <c r="C74" s="301"/>
      <c r="D74" s="301"/>
      <c r="E74" s="301"/>
      <c r="F74" s="301"/>
      <c r="G74" s="301"/>
      <c r="H74" s="301"/>
      <c r="I74" s="301"/>
      <c r="J74" s="301"/>
      <c r="K74" s="301"/>
      <c r="L74" s="301"/>
      <c r="M74" s="302"/>
      <c r="N74" s="250"/>
      <c r="O74" s="250"/>
      <c r="P74" s="251"/>
    </row>
    <row r="75" spans="1:16" ht="13.15" customHeight="1" x14ac:dyDescent="0.2">
      <c r="A75" s="249"/>
      <c r="B75" s="300"/>
      <c r="C75" s="301"/>
      <c r="D75" s="301"/>
      <c r="E75" s="301"/>
      <c r="F75" s="301"/>
      <c r="G75" s="301"/>
      <c r="H75" s="301"/>
      <c r="I75" s="301"/>
      <c r="J75" s="301"/>
      <c r="K75" s="301"/>
      <c r="L75" s="301"/>
      <c r="M75" s="302"/>
      <c r="N75" s="250"/>
      <c r="O75" s="250"/>
      <c r="P75" s="251"/>
    </row>
    <row r="76" spans="1:16" ht="13.15" customHeight="1" x14ac:dyDescent="0.2">
      <c r="A76" s="249"/>
      <c r="B76" s="300"/>
      <c r="C76" s="301"/>
      <c r="D76" s="301"/>
      <c r="E76" s="301"/>
      <c r="F76" s="301"/>
      <c r="G76" s="301"/>
      <c r="H76" s="301"/>
      <c r="I76" s="301"/>
      <c r="J76" s="301"/>
      <c r="K76" s="301"/>
      <c r="L76" s="301"/>
      <c r="M76" s="302"/>
      <c r="N76" s="250"/>
      <c r="O76" s="250"/>
      <c r="P76" s="251"/>
    </row>
    <row r="77" spans="1:16" ht="13.15" customHeight="1" x14ac:dyDescent="0.2">
      <c r="A77" s="249"/>
      <c r="B77" s="300"/>
      <c r="C77" s="301"/>
      <c r="D77" s="301"/>
      <c r="E77" s="301"/>
      <c r="F77" s="301"/>
      <c r="G77" s="301"/>
      <c r="H77" s="301"/>
      <c r="I77" s="301"/>
      <c r="J77" s="301"/>
      <c r="K77" s="301"/>
      <c r="L77" s="301"/>
      <c r="M77" s="302"/>
      <c r="N77" s="250"/>
      <c r="O77" s="250"/>
      <c r="P77" s="251"/>
    </row>
    <row r="78" spans="1:16" x14ac:dyDescent="0.2">
      <c r="A78" s="249"/>
      <c r="B78" s="300"/>
      <c r="C78" s="301"/>
      <c r="D78" s="301"/>
      <c r="E78" s="301"/>
      <c r="F78" s="301"/>
      <c r="G78" s="301"/>
      <c r="H78" s="301"/>
      <c r="I78" s="301"/>
      <c r="J78" s="301"/>
      <c r="K78" s="301"/>
      <c r="L78" s="301"/>
      <c r="M78" s="302"/>
      <c r="N78" s="250"/>
      <c r="O78" s="250"/>
      <c r="P78" s="251"/>
    </row>
    <row r="79" spans="1:16" x14ac:dyDescent="0.2">
      <c r="A79" s="249"/>
      <c r="B79" s="300"/>
      <c r="C79" s="301"/>
      <c r="D79" s="301"/>
      <c r="E79" s="301"/>
      <c r="F79" s="301"/>
      <c r="G79" s="301"/>
      <c r="H79" s="301"/>
      <c r="I79" s="301"/>
      <c r="J79" s="301"/>
      <c r="K79" s="301"/>
      <c r="L79" s="301"/>
      <c r="M79" s="302"/>
      <c r="N79" s="250"/>
      <c r="O79" s="250"/>
      <c r="P79" s="251"/>
    </row>
    <row r="80" spans="1:16" x14ac:dyDescent="0.2">
      <c r="A80" s="249"/>
      <c r="B80" s="300"/>
      <c r="C80" s="301"/>
      <c r="D80" s="301"/>
      <c r="E80" s="301"/>
      <c r="F80" s="301"/>
      <c r="G80" s="301"/>
      <c r="H80" s="301"/>
      <c r="I80" s="301"/>
      <c r="J80" s="301"/>
      <c r="K80" s="301"/>
      <c r="L80" s="301"/>
      <c r="M80" s="302"/>
      <c r="N80" s="250"/>
      <c r="O80" s="250"/>
      <c r="P80" s="251"/>
    </row>
    <row r="81" spans="1:16" x14ac:dyDescent="0.2">
      <c r="A81" s="249"/>
      <c r="B81" s="300"/>
      <c r="C81" s="301"/>
      <c r="D81" s="301"/>
      <c r="E81" s="301"/>
      <c r="F81" s="301"/>
      <c r="G81" s="301"/>
      <c r="H81" s="301"/>
      <c r="I81" s="301"/>
      <c r="J81" s="301"/>
      <c r="K81" s="301"/>
      <c r="L81" s="301"/>
      <c r="M81" s="302"/>
      <c r="N81" s="250"/>
      <c r="O81" s="250"/>
      <c r="P81" s="251"/>
    </row>
    <row r="82" spans="1:16" x14ac:dyDescent="0.2">
      <c r="A82" s="249"/>
      <c r="B82" s="300"/>
      <c r="C82" s="301"/>
      <c r="D82" s="301"/>
      <c r="E82" s="301"/>
      <c r="F82" s="301"/>
      <c r="G82" s="301"/>
      <c r="H82" s="301"/>
      <c r="I82" s="301"/>
      <c r="J82" s="301"/>
      <c r="K82" s="301"/>
      <c r="L82" s="301"/>
      <c r="M82" s="302"/>
      <c r="N82" s="250"/>
      <c r="O82" s="250"/>
      <c r="P82" s="251"/>
    </row>
    <row r="83" spans="1:16" x14ac:dyDescent="0.2">
      <c r="A83" s="249"/>
      <c r="B83" s="300"/>
      <c r="C83" s="301"/>
      <c r="D83" s="301"/>
      <c r="E83" s="301"/>
      <c r="F83" s="301"/>
      <c r="G83" s="301"/>
      <c r="H83" s="301"/>
      <c r="I83" s="301"/>
      <c r="J83" s="301"/>
      <c r="K83" s="301"/>
      <c r="L83" s="301"/>
      <c r="M83" s="302"/>
      <c r="N83" s="250"/>
      <c r="O83" s="250"/>
      <c r="P83" s="251"/>
    </row>
    <row r="84" spans="1:16" x14ac:dyDescent="0.2">
      <c r="A84" s="249"/>
      <c r="B84" s="300"/>
      <c r="C84" s="301"/>
      <c r="D84" s="301"/>
      <c r="E84" s="301"/>
      <c r="F84" s="301"/>
      <c r="G84" s="301"/>
      <c r="H84" s="301"/>
      <c r="I84" s="301"/>
      <c r="J84" s="301"/>
      <c r="K84" s="301"/>
      <c r="L84" s="301"/>
      <c r="M84" s="302"/>
      <c r="N84" s="250"/>
      <c r="O84" s="250"/>
      <c r="P84" s="251"/>
    </row>
    <row r="85" spans="1:16" x14ac:dyDescent="0.2">
      <c r="A85" s="249"/>
      <c r="B85" s="300"/>
      <c r="C85" s="301"/>
      <c r="D85" s="301"/>
      <c r="E85" s="301"/>
      <c r="F85" s="301"/>
      <c r="G85" s="301"/>
      <c r="H85" s="301"/>
      <c r="I85" s="301"/>
      <c r="J85" s="301"/>
      <c r="K85" s="301"/>
      <c r="L85" s="301"/>
      <c r="M85" s="302"/>
      <c r="N85" s="250"/>
      <c r="O85" s="250"/>
      <c r="P85" s="251"/>
    </row>
    <row r="86" spans="1:16" x14ac:dyDescent="0.2">
      <c r="A86" s="249"/>
      <c r="B86" s="300"/>
      <c r="C86" s="301"/>
      <c r="D86" s="301"/>
      <c r="E86" s="301"/>
      <c r="F86" s="301"/>
      <c r="G86" s="301"/>
      <c r="H86" s="301"/>
      <c r="I86" s="301"/>
      <c r="J86" s="301"/>
      <c r="K86" s="301"/>
      <c r="L86" s="301"/>
      <c r="M86" s="302"/>
      <c r="N86" s="250"/>
      <c r="O86" s="250"/>
      <c r="P86" s="251"/>
    </row>
    <row r="87" spans="1:16" x14ac:dyDescent="0.2">
      <c r="A87" s="249"/>
      <c r="B87" s="300"/>
      <c r="C87" s="301"/>
      <c r="D87" s="301"/>
      <c r="E87" s="301"/>
      <c r="F87" s="301"/>
      <c r="G87" s="301"/>
      <c r="H87" s="301"/>
      <c r="I87" s="301"/>
      <c r="J87" s="301"/>
      <c r="K87" s="301"/>
      <c r="L87" s="301"/>
      <c r="M87" s="302"/>
      <c r="N87" s="250"/>
      <c r="O87" s="250"/>
      <c r="P87" s="251"/>
    </row>
    <row r="88" spans="1:16" x14ac:dyDescent="0.2">
      <c r="A88" s="249"/>
      <c r="B88" s="300"/>
      <c r="C88" s="301"/>
      <c r="D88" s="301"/>
      <c r="E88" s="301"/>
      <c r="F88" s="301"/>
      <c r="G88" s="301"/>
      <c r="H88" s="301"/>
      <c r="I88" s="301"/>
      <c r="J88" s="301"/>
      <c r="K88" s="301"/>
      <c r="L88" s="301"/>
      <c r="M88" s="302"/>
      <c r="N88" s="250"/>
      <c r="O88" s="250"/>
      <c r="P88" s="251"/>
    </row>
    <row r="89" spans="1:16" x14ac:dyDescent="0.2">
      <c r="A89" s="249"/>
      <c r="B89" s="300"/>
      <c r="C89" s="301"/>
      <c r="D89" s="301"/>
      <c r="E89" s="301"/>
      <c r="F89" s="301"/>
      <c r="G89" s="301"/>
      <c r="H89" s="301"/>
      <c r="I89" s="301"/>
      <c r="J89" s="301"/>
      <c r="K89" s="301"/>
      <c r="L89" s="301"/>
      <c r="M89" s="302"/>
      <c r="N89" s="250"/>
      <c r="O89" s="250"/>
      <c r="P89" s="251"/>
    </row>
    <row r="90" spans="1:16" x14ac:dyDescent="0.2">
      <c r="A90" s="249"/>
      <c r="B90" s="300"/>
      <c r="C90" s="301"/>
      <c r="D90" s="301"/>
      <c r="E90" s="301"/>
      <c r="F90" s="301"/>
      <c r="G90" s="301"/>
      <c r="H90" s="301"/>
      <c r="I90" s="301"/>
      <c r="J90" s="301"/>
      <c r="K90" s="301"/>
      <c r="L90" s="301"/>
      <c r="M90" s="302"/>
      <c r="N90" s="250"/>
      <c r="O90" s="250"/>
      <c r="P90" s="251"/>
    </row>
    <row r="91" spans="1:16" x14ac:dyDescent="0.2">
      <c r="A91" s="249"/>
      <c r="B91" s="300"/>
      <c r="C91" s="301"/>
      <c r="D91" s="301"/>
      <c r="E91" s="301"/>
      <c r="F91" s="301"/>
      <c r="G91" s="301"/>
      <c r="H91" s="301"/>
      <c r="I91" s="301"/>
      <c r="J91" s="301"/>
      <c r="K91" s="301"/>
      <c r="L91" s="301"/>
      <c r="M91" s="302"/>
      <c r="N91" s="250"/>
      <c r="O91" s="250"/>
      <c r="P91" s="251"/>
    </row>
    <row r="92" spans="1:16" x14ac:dyDescent="0.2">
      <c r="A92" s="249"/>
      <c r="B92" s="300"/>
      <c r="C92" s="301"/>
      <c r="D92" s="301"/>
      <c r="E92" s="301"/>
      <c r="F92" s="301"/>
      <c r="G92" s="301"/>
      <c r="H92" s="301"/>
      <c r="I92" s="301"/>
      <c r="J92" s="301"/>
      <c r="K92" s="301"/>
      <c r="L92" s="301"/>
      <c r="M92" s="302"/>
      <c r="N92" s="250"/>
      <c r="O92" s="250"/>
      <c r="P92" s="251"/>
    </row>
    <row r="93" spans="1:16" x14ac:dyDescent="0.2">
      <c r="A93" s="249"/>
      <c r="B93" s="300"/>
      <c r="C93" s="301"/>
      <c r="D93" s="301"/>
      <c r="E93" s="301"/>
      <c r="F93" s="301"/>
      <c r="G93" s="301"/>
      <c r="H93" s="301"/>
      <c r="I93" s="301"/>
      <c r="J93" s="301"/>
      <c r="K93" s="301"/>
      <c r="L93" s="301"/>
      <c r="M93" s="302"/>
      <c r="N93" s="250"/>
      <c r="O93" s="250"/>
      <c r="P93" s="251"/>
    </row>
    <row r="94" spans="1:16" x14ac:dyDescent="0.2">
      <c r="A94" s="249"/>
      <c r="B94" s="300"/>
      <c r="C94" s="301"/>
      <c r="D94" s="301"/>
      <c r="E94" s="301"/>
      <c r="F94" s="301"/>
      <c r="G94" s="301"/>
      <c r="H94" s="301"/>
      <c r="I94" s="301"/>
      <c r="J94" s="301"/>
      <c r="K94" s="301"/>
      <c r="L94" s="301"/>
      <c r="M94" s="302"/>
      <c r="N94" s="250"/>
      <c r="O94" s="250"/>
      <c r="P94" s="251"/>
    </row>
    <row r="95" spans="1:16" x14ac:dyDescent="0.2">
      <c r="A95" s="249"/>
      <c r="B95" s="300"/>
      <c r="C95" s="301"/>
      <c r="D95" s="301"/>
      <c r="E95" s="301"/>
      <c r="F95" s="301"/>
      <c r="G95" s="301"/>
      <c r="H95" s="301"/>
      <c r="I95" s="301"/>
      <c r="J95" s="301"/>
      <c r="K95" s="301"/>
      <c r="L95" s="301"/>
      <c r="M95" s="302"/>
      <c r="N95" s="250"/>
      <c r="O95" s="250"/>
      <c r="P95" s="251"/>
    </row>
    <row r="96" spans="1:16" x14ac:dyDescent="0.2">
      <c r="A96" s="249"/>
      <c r="B96" s="300"/>
      <c r="C96" s="301"/>
      <c r="D96" s="301"/>
      <c r="E96" s="301"/>
      <c r="F96" s="301"/>
      <c r="G96" s="301"/>
      <c r="H96" s="301"/>
      <c r="I96" s="301"/>
      <c r="J96" s="301"/>
      <c r="K96" s="301"/>
      <c r="L96" s="301"/>
      <c r="M96" s="302"/>
      <c r="N96" s="250"/>
      <c r="O96" s="250"/>
      <c r="P96" s="251"/>
    </row>
    <row r="97" spans="1:16" x14ac:dyDescent="0.2">
      <c r="A97" s="249"/>
      <c r="B97" s="300"/>
      <c r="C97" s="301"/>
      <c r="D97" s="301"/>
      <c r="E97" s="301"/>
      <c r="F97" s="301"/>
      <c r="G97" s="301"/>
      <c r="H97" s="301"/>
      <c r="I97" s="301"/>
      <c r="J97" s="301"/>
      <c r="K97" s="301"/>
      <c r="L97" s="301"/>
      <c r="M97" s="302"/>
      <c r="N97" s="250"/>
      <c r="O97" s="250"/>
      <c r="P97" s="251"/>
    </row>
    <row r="98" spans="1:16" ht="13.5" thickBot="1" x14ac:dyDescent="0.25">
      <c r="A98" s="249"/>
      <c r="B98" s="303"/>
      <c r="C98" s="304"/>
      <c r="D98" s="304"/>
      <c r="E98" s="304"/>
      <c r="F98" s="304"/>
      <c r="G98" s="304"/>
      <c r="H98" s="304"/>
      <c r="I98" s="304"/>
      <c r="J98" s="304"/>
      <c r="K98" s="304"/>
      <c r="L98" s="304"/>
      <c r="M98" s="305"/>
      <c r="N98" s="250"/>
      <c r="O98" s="250"/>
      <c r="P98" s="251"/>
    </row>
    <row r="99" spans="1:16" x14ac:dyDescent="0.2">
      <c r="A99" s="249"/>
      <c r="B99" s="250"/>
      <c r="C99" s="250"/>
      <c r="D99" s="250"/>
      <c r="E99" s="250"/>
      <c r="F99" s="250"/>
      <c r="G99" s="250"/>
      <c r="H99" s="250"/>
      <c r="I99" s="250"/>
      <c r="J99" s="250"/>
      <c r="K99" s="250"/>
      <c r="L99" s="250"/>
      <c r="M99" s="250"/>
      <c r="N99" s="250"/>
      <c r="O99" s="250"/>
      <c r="P99" s="251"/>
    </row>
    <row r="100" spans="1:16" x14ac:dyDescent="0.2">
      <c r="A100" s="249"/>
      <c r="B100" s="250"/>
      <c r="C100" s="250"/>
      <c r="D100" s="250"/>
      <c r="E100" s="250"/>
      <c r="F100" s="250"/>
      <c r="G100" s="250"/>
      <c r="H100" s="250"/>
      <c r="I100" s="250"/>
      <c r="J100" s="250"/>
      <c r="K100" s="250"/>
      <c r="L100" s="250"/>
      <c r="M100" s="250"/>
      <c r="N100" s="250"/>
      <c r="O100" s="250"/>
      <c r="P100" s="251"/>
    </row>
    <row r="101" spans="1:16" ht="13.5" thickBot="1" x14ac:dyDescent="0.25">
      <c r="A101" s="289"/>
      <c r="B101" s="290"/>
      <c r="C101" s="290"/>
      <c r="D101" s="290"/>
      <c r="E101" s="290"/>
      <c r="F101" s="290"/>
      <c r="G101" s="290"/>
      <c r="H101" s="290"/>
      <c r="I101" s="290"/>
      <c r="J101" s="290"/>
      <c r="K101" s="290"/>
      <c r="L101" s="290"/>
      <c r="M101" s="290"/>
      <c r="N101" s="290"/>
      <c r="O101" s="290"/>
      <c r="P101" s="291"/>
    </row>
    <row r="102" spans="1:16" ht="13.5" thickTop="1" x14ac:dyDescent="0.2"/>
  </sheetData>
  <sheetProtection selectLockedCells="1"/>
  <mergeCells count="2">
    <mergeCell ref="B15:I15"/>
    <mergeCell ref="B36:M98"/>
  </mergeCells>
  <hyperlinks>
    <hyperlink ref="B15:I15" r:id="rId1" display="LM5066i Datasheet" xr:uid="{00000000-0004-0000-0000-000000000000}"/>
    <hyperlink ref="B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209"/>
  <sheetViews>
    <sheetView tabSelected="1" topLeftCell="C71" zoomScale="115" zoomScaleNormal="115" zoomScaleSheetLayoutView="100" workbookViewId="0">
      <selection activeCell="F38" sqref="F38"/>
    </sheetView>
  </sheetViews>
  <sheetFormatPr defaultRowHeight="12.75" x14ac:dyDescent="0.2"/>
  <cols>
    <col min="1" max="1" width="0.5703125" customWidth="1"/>
    <col min="2" max="2" width="30" customWidth="1"/>
    <col min="3" max="3" width="15.140625" customWidth="1"/>
    <col min="4" max="4" width="16.5703125" customWidth="1"/>
    <col min="5" max="5" width="20.85546875" customWidth="1"/>
    <col min="6" max="6" width="15.85546875" customWidth="1"/>
    <col min="7" max="7" width="5.5703125" style="168" customWidth="1"/>
    <col min="8" max="8" width="9.5703125" customWidth="1"/>
    <col min="9" max="9" width="12.85546875" customWidth="1"/>
    <col min="11" max="11" width="10.28515625" customWidth="1"/>
    <col min="12" max="12" width="8.85546875" customWidth="1"/>
    <col min="13" max="13" width="9.85546875" customWidth="1"/>
    <col min="14" max="19" width="0" hidden="1" customWidth="1"/>
    <col min="20" max="20" width="2.7109375" hidden="1" customWidth="1"/>
    <col min="21" max="21" width="3" hidden="1" customWidth="1"/>
    <col min="22" max="22" width="1.140625" hidden="1" customWidth="1"/>
    <col min="23" max="23" width="3.7109375" hidden="1" customWidth="1"/>
    <col min="24" max="38" width="0" hidden="1" customWidth="1"/>
    <col min="39" max="39" width="11.7109375" customWidth="1"/>
    <col min="40" max="40" width="14.140625" hidden="1" customWidth="1"/>
    <col min="41" max="41" width="9.28515625" hidden="1" customWidth="1"/>
    <col min="42" max="42" width="12.28515625" customWidth="1"/>
    <col min="43" max="43" width="12" customWidth="1"/>
    <col min="44" max="44" width="13.42578125" customWidth="1"/>
    <col min="45" max="45" width="14.5703125" customWidth="1"/>
    <col min="46" max="46" width="14.7109375" customWidth="1"/>
    <col min="47" max="47" width="11.28515625" customWidth="1"/>
    <col min="48" max="48" width="13" customWidth="1"/>
    <col min="49" max="49" width="13.42578125" customWidth="1"/>
    <col min="50" max="50" width="14.7109375" customWidth="1"/>
    <col min="51" max="51" width="14.140625" customWidth="1"/>
    <col min="52" max="52" width="12.85546875" customWidth="1"/>
    <col min="53" max="53" width="12.5703125" customWidth="1"/>
    <col min="54" max="54" width="9.85546875" customWidth="1"/>
    <col min="55" max="55" width="12.7109375" customWidth="1"/>
    <col min="56" max="56" width="13.7109375" customWidth="1"/>
    <col min="57" max="57" width="13.85546875" customWidth="1"/>
    <col min="58" max="59" width="14.42578125" customWidth="1"/>
    <col min="60" max="60" width="15.42578125" customWidth="1"/>
    <col min="61" max="61" width="15.28515625" customWidth="1"/>
    <col min="62" max="62" width="15.7109375" customWidth="1"/>
    <col min="63" max="63" width="12.5703125" customWidth="1"/>
    <col min="64" max="64" width="16.85546875" customWidth="1"/>
    <col min="65" max="65" width="15.42578125" customWidth="1"/>
    <col min="66" max="66" width="14.5703125" customWidth="1"/>
    <col min="67" max="67" width="10" customWidth="1"/>
    <col min="68" max="68" width="6.140625" customWidth="1"/>
    <col min="69" max="69" width="7.140625" customWidth="1"/>
    <col min="70" max="70" width="8.28515625" customWidth="1"/>
    <col min="71" max="71" width="4.7109375" customWidth="1"/>
  </cols>
  <sheetData>
    <row r="1" spans="1:39" s="131" customFormat="1" ht="60.75" customHeight="1" x14ac:dyDescent="0.2">
      <c r="A1" s="307" t="s">
        <v>497</v>
      </c>
      <c r="B1" s="308"/>
      <c r="C1" s="308"/>
      <c r="D1" s="308"/>
      <c r="E1" s="308"/>
      <c r="F1" s="308"/>
      <c r="G1" s="308"/>
      <c r="H1" s="308"/>
      <c r="I1" s="308"/>
      <c r="J1" s="308"/>
      <c r="K1" s="308"/>
      <c r="L1" s="308"/>
      <c r="M1" s="308"/>
      <c r="N1" s="42"/>
      <c r="O1" s="42"/>
      <c r="P1" s="42"/>
      <c r="Q1" s="42"/>
      <c r="R1" s="40"/>
      <c r="S1" s="41"/>
      <c r="T1" s="39"/>
      <c r="U1" s="39"/>
      <c r="V1" s="39"/>
      <c r="W1" s="39"/>
      <c r="X1" s="39"/>
      <c r="Y1" s="39"/>
      <c r="Z1" s="39"/>
      <c r="AA1" s="39"/>
      <c r="AB1" s="39"/>
      <c r="AC1" s="39"/>
      <c r="AD1" s="39"/>
      <c r="AE1" s="39"/>
      <c r="AF1" s="39"/>
      <c r="AG1" s="39"/>
      <c r="AH1" s="39"/>
      <c r="AI1" s="39"/>
      <c r="AJ1" s="39"/>
      <c r="AK1" s="39"/>
      <c r="AL1" s="39"/>
      <c r="AM1" s="39"/>
    </row>
    <row r="2" spans="1:39" ht="15.75" x14ac:dyDescent="0.2">
      <c r="A2" s="19"/>
      <c r="B2" s="38" t="s">
        <v>104</v>
      </c>
      <c r="C2" s="19"/>
      <c r="D2" s="19"/>
      <c r="E2" s="19"/>
      <c r="F2" s="20"/>
      <c r="G2" s="20"/>
      <c r="H2" s="19"/>
      <c r="I2" s="19"/>
      <c r="J2" s="19"/>
      <c r="K2" s="19"/>
      <c r="L2" s="306"/>
      <c r="M2" s="306"/>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39" x14ac:dyDescent="0.2">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39" x14ac:dyDescent="0.2">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39" x14ac:dyDescent="0.2">
      <c r="A5" s="19"/>
      <c r="B5" s="19"/>
      <c r="C5" s="19"/>
      <c r="D5" s="19"/>
      <c r="E5" s="19"/>
      <c r="F5" s="19"/>
      <c r="G5" s="20"/>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39" x14ac:dyDescent="0.2">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39" ht="16.5" customHeight="1" x14ac:dyDescent="0.2">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x14ac:dyDescent="0.2">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ht="15" customHeight="1" x14ac:dyDescent="0.2">
      <c r="A9" s="19"/>
      <c r="B9" s="24"/>
      <c r="C9" s="211"/>
      <c r="D9" s="204" t="s">
        <v>377</v>
      </c>
      <c r="E9" s="123"/>
      <c r="F9" s="19"/>
      <c r="G9" s="20"/>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39" ht="15" customHeight="1" x14ac:dyDescent="0.2">
      <c r="A10" s="19"/>
      <c r="B10" s="25"/>
      <c r="C10" s="21"/>
      <c r="D10" s="19" t="s">
        <v>103</v>
      </c>
      <c r="E10" s="124"/>
      <c r="F10" s="19"/>
      <c r="G10" s="20"/>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39" ht="22.9" customHeight="1" x14ac:dyDescent="0.2">
      <c r="A11" s="19"/>
      <c r="B11" s="25"/>
      <c r="C11" s="226"/>
      <c r="D11" s="309" t="s">
        <v>481</v>
      </c>
      <c r="E11" s="310"/>
      <c r="F11" s="19"/>
      <c r="G11" s="20"/>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39" ht="18" customHeight="1" x14ac:dyDescent="0.2">
      <c r="A12" s="19"/>
      <c r="B12" s="25"/>
      <c r="C12" s="225"/>
      <c r="D12" s="309"/>
      <c r="E12" s="310"/>
      <c r="F12" s="19"/>
      <c r="G12" s="20"/>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39" ht="15" customHeight="1" thickBot="1" x14ac:dyDescent="0.25">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39" ht="15" customHeight="1" x14ac:dyDescent="0.25">
      <c r="A14" s="19"/>
      <c r="B14" s="154" t="s">
        <v>151</v>
      </c>
      <c r="C14" s="96"/>
      <c r="D14" s="96"/>
      <c r="E14" s="97" t="s">
        <v>111</v>
      </c>
      <c r="F14" s="201">
        <v>40</v>
      </c>
      <c r="G14" s="177" t="s">
        <v>86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132"/>
    </row>
    <row r="15" spans="1:39" ht="15" customHeight="1" x14ac:dyDescent="0.25">
      <c r="A15" s="19"/>
      <c r="B15" s="98"/>
      <c r="C15" s="23"/>
      <c r="D15" s="23"/>
      <c r="E15" s="66" t="s">
        <v>121</v>
      </c>
      <c r="F15" s="202">
        <v>54</v>
      </c>
      <c r="G15" s="178" t="s">
        <v>86</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111"/>
    </row>
    <row r="16" spans="1:39" ht="15" customHeight="1" x14ac:dyDescent="0.2">
      <c r="A16" s="19"/>
      <c r="B16" s="99"/>
      <c r="C16" s="23"/>
      <c r="D16" s="23"/>
      <c r="E16" s="66" t="s">
        <v>112</v>
      </c>
      <c r="F16" s="202">
        <v>60</v>
      </c>
      <c r="G16" s="178" t="s">
        <v>86</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111"/>
    </row>
    <row r="17" spans="1:40" ht="15" customHeight="1" x14ac:dyDescent="0.2">
      <c r="A17" s="19"/>
      <c r="B17" s="99"/>
      <c r="C17" s="23"/>
      <c r="D17" s="23"/>
      <c r="E17" s="66" t="s">
        <v>123</v>
      </c>
      <c r="F17" s="202">
        <v>40</v>
      </c>
      <c r="G17" s="178" t="s">
        <v>25</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111"/>
    </row>
    <row r="18" spans="1:40" ht="15" customHeight="1" x14ac:dyDescent="0.2">
      <c r="A18" s="19"/>
      <c r="B18" s="99"/>
      <c r="C18" s="23"/>
      <c r="D18" s="23"/>
      <c r="E18" s="66" t="s">
        <v>235</v>
      </c>
      <c r="F18" s="202">
        <v>810</v>
      </c>
      <c r="G18" s="179" t="s">
        <v>83</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111"/>
    </row>
    <row r="19" spans="1:40" ht="15" customHeight="1" thickBot="1" x14ac:dyDescent="0.25">
      <c r="A19" s="19"/>
      <c r="B19" s="100"/>
      <c r="C19" s="101"/>
      <c r="D19" s="101"/>
      <c r="E19" s="102" t="s">
        <v>122</v>
      </c>
      <c r="F19" s="203">
        <v>75</v>
      </c>
      <c r="G19" s="180" t="s">
        <v>127</v>
      </c>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15"/>
    </row>
    <row r="20" spans="1:40" ht="15" customHeight="1" x14ac:dyDescent="0.25">
      <c r="A20" s="19"/>
      <c r="B20" s="154" t="s">
        <v>233</v>
      </c>
      <c r="C20" s="146"/>
      <c r="D20" s="96"/>
      <c r="E20" s="97" t="s">
        <v>272</v>
      </c>
      <c r="F20" s="205" t="s">
        <v>434</v>
      </c>
      <c r="G20" s="181"/>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32"/>
      <c r="AN20" s="33" t="s">
        <v>433</v>
      </c>
    </row>
    <row r="21" spans="1:40" ht="15" customHeight="1" x14ac:dyDescent="0.2">
      <c r="A21" s="19"/>
      <c r="B21" s="103"/>
      <c r="C21" s="23"/>
      <c r="D21" s="23"/>
      <c r="E21" s="66" t="s">
        <v>274</v>
      </c>
      <c r="F21" s="61">
        <f>Equations!F9</f>
        <v>1.113861386138614</v>
      </c>
      <c r="G21" s="178" t="s">
        <v>85</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111"/>
      <c r="AN21" s="33" t="s">
        <v>434</v>
      </c>
    </row>
    <row r="22" spans="1:40" ht="15" customHeight="1" x14ac:dyDescent="0.2">
      <c r="A22" s="19"/>
      <c r="B22" s="99"/>
      <c r="C22" s="23"/>
      <c r="D22" s="23"/>
      <c r="E22" s="66" t="s">
        <v>202</v>
      </c>
      <c r="F22" s="206" t="s">
        <v>198</v>
      </c>
      <c r="G22" s="178"/>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111"/>
      <c r="AN22" s="33" t="s">
        <v>199</v>
      </c>
    </row>
    <row r="23" spans="1:40" ht="15" customHeight="1" x14ac:dyDescent="0.2">
      <c r="A23" s="19"/>
      <c r="B23" s="99"/>
      <c r="C23" s="23"/>
      <c r="D23" s="23"/>
      <c r="E23" s="66" t="s">
        <v>109</v>
      </c>
      <c r="F23" s="207">
        <v>1</v>
      </c>
      <c r="G23" s="178" t="s">
        <v>85</v>
      </c>
      <c r="H23" s="13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111"/>
      <c r="AN23" s="33" t="s">
        <v>198</v>
      </c>
    </row>
    <row r="24" spans="1:40" ht="15" customHeight="1" x14ac:dyDescent="0.2">
      <c r="A24" s="19"/>
      <c r="B24" s="99"/>
      <c r="C24" s="23"/>
      <c r="D24" s="23"/>
      <c r="E24" s="66" t="s">
        <v>205</v>
      </c>
      <c r="F24" s="108" t="str">
        <f>Equations!F10</f>
        <v>NA</v>
      </c>
      <c r="G24" s="182" t="s">
        <v>87</v>
      </c>
      <c r="H24" s="219"/>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111"/>
    </row>
    <row r="25" spans="1:40" ht="15" customHeight="1" x14ac:dyDescent="0.2">
      <c r="A25" s="19"/>
      <c r="B25" s="99"/>
      <c r="C25" s="23"/>
      <c r="D25" s="23"/>
      <c r="E25" s="66" t="s">
        <v>206</v>
      </c>
      <c r="F25" s="107" t="str">
        <f>Equations!F11</f>
        <v>NA</v>
      </c>
      <c r="G25" s="182" t="s">
        <v>87</v>
      </c>
      <c r="H25" s="219"/>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111"/>
    </row>
    <row r="26" spans="1:40" ht="15" customHeight="1" x14ac:dyDescent="0.2">
      <c r="A26" s="19"/>
      <c r="B26" s="99"/>
      <c r="C26" s="23"/>
      <c r="D26" s="23"/>
      <c r="E26" s="66" t="s">
        <v>207</v>
      </c>
      <c r="F26" s="206">
        <v>10</v>
      </c>
      <c r="G26" s="182" t="s">
        <v>87</v>
      </c>
      <c r="H26" s="219"/>
      <c r="I26" s="23"/>
      <c r="J26" s="13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111"/>
      <c r="AN26" t="b">
        <f>AND(F22="No")</f>
        <v>1</v>
      </c>
    </row>
    <row r="27" spans="1:40" ht="15" customHeight="1" x14ac:dyDescent="0.2">
      <c r="A27" s="19"/>
      <c r="B27" s="99"/>
      <c r="C27" s="23"/>
      <c r="D27" s="23"/>
      <c r="E27" s="66" t="s">
        <v>208</v>
      </c>
      <c r="F27" s="206">
        <v>3.04</v>
      </c>
      <c r="G27" s="182" t="s">
        <v>87</v>
      </c>
      <c r="H27" s="219"/>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111"/>
    </row>
    <row r="28" spans="1:40" ht="15" customHeight="1" x14ac:dyDescent="0.2">
      <c r="A28" s="19"/>
      <c r="B28" s="99"/>
      <c r="C28" s="23"/>
      <c r="D28" s="23"/>
      <c r="E28" s="66" t="s">
        <v>273</v>
      </c>
      <c r="F28" s="107">
        <f>RsEFF</f>
        <v>1</v>
      </c>
      <c r="G28" s="178" t="s">
        <v>85</v>
      </c>
      <c r="H28" s="219"/>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111"/>
    </row>
    <row r="29" spans="1:40" ht="15" customHeight="1" x14ac:dyDescent="0.2">
      <c r="A29" s="19"/>
      <c r="B29" s="99"/>
      <c r="C29" s="23"/>
      <c r="D29" s="126"/>
      <c r="E29" s="127" t="s">
        <v>99</v>
      </c>
      <c r="F29" s="64">
        <f>CLMIN</f>
        <v>45</v>
      </c>
      <c r="G29" s="178" t="s">
        <v>25</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111"/>
    </row>
    <row r="30" spans="1:40" ht="15" customHeight="1" x14ac:dyDescent="0.2">
      <c r="A30" s="19"/>
      <c r="B30" s="99"/>
      <c r="C30" s="23"/>
      <c r="D30" s="128"/>
      <c r="E30" s="129" t="s">
        <v>100</v>
      </c>
      <c r="F30" s="64">
        <f>CLNOM</f>
        <v>50</v>
      </c>
      <c r="G30" s="178" t="s">
        <v>25</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111"/>
    </row>
    <row r="31" spans="1:40" ht="15" customHeight="1" x14ac:dyDescent="0.2">
      <c r="A31" s="19"/>
      <c r="B31" s="99"/>
      <c r="C31" s="23"/>
      <c r="D31" s="152"/>
      <c r="E31" s="153" t="s">
        <v>101</v>
      </c>
      <c r="F31" s="64">
        <f>CLMAX</f>
        <v>55</v>
      </c>
      <c r="G31" s="178" t="s">
        <v>25</v>
      </c>
      <c r="H31" s="23"/>
      <c r="I31" s="9"/>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111"/>
      <c r="AN31" s="33" t="s">
        <v>252</v>
      </c>
    </row>
    <row r="32" spans="1:40" ht="15" customHeight="1" x14ac:dyDescent="0.2">
      <c r="A32" s="19"/>
      <c r="B32" s="99"/>
      <c r="C32" s="23"/>
      <c r="D32" s="23"/>
      <c r="E32" s="66" t="s">
        <v>113</v>
      </c>
      <c r="F32" s="48">
        <f>Equations!F16/1000</f>
        <v>3.0249999999999999</v>
      </c>
      <c r="G32" s="178" t="s">
        <v>87</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111"/>
      <c r="AN32" s="33" t="s">
        <v>253</v>
      </c>
    </row>
    <row r="33" spans="1:41" ht="15" customHeight="1" x14ac:dyDescent="0.2">
      <c r="A33" s="19"/>
      <c r="B33" s="99"/>
      <c r="C33" s="23"/>
      <c r="D33" s="23"/>
      <c r="E33" s="66" t="s">
        <v>251</v>
      </c>
      <c r="F33" s="292" t="s">
        <v>253</v>
      </c>
      <c r="G33" s="178"/>
      <c r="H33" s="13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111"/>
      <c r="AN33" s="33" t="s">
        <v>441</v>
      </c>
    </row>
    <row r="34" spans="1:41" ht="15" customHeight="1" thickBot="1" x14ac:dyDescent="0.25">
      <c r="A34" s="19"/>
      <c r="B34" s="100"/>
      <c r="C34" s="101"/>
      <c r="D34" s="101"/>
      <c r="E34" s="143" t="s">
        <v>234</v>
      </c>
      <c r="F34" s="293" t="s">
        <v>441</v>
      </c>
      <c r="G34" s="180"/>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15"/>
      <c r="AN34" s="33" t="s">
        <v>442</v>
      </c>
    </row>
    <row r="35" spans="1:41" ht="15" x14ac:dyDescent="0.25">
      <c r="A35" s="19"/>
      <c r="B35" s="154" t="s">
        <v>124</v>
      </c>
      <c r="C35" s="96"/>
      <c r="D35" s="96"/>
      <c r="E35" s="104" t="s">
        <v>501</v>
      </c>
      <c r="F35" s="205" t="s">
        <v>512</v>
      </c>
      <c r="G35" s="183"/>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132"/>
    </row>
    <row r="36" spans="1:41" ht="15.75" x14ac:dyDescent="0.3">
      <c r="A36" s="19"/>
      <c r="B36" s="99"/>
      <c r="C36" s="23"/>
      <c r="D36" s="23"/>
      <c r="E36" s="37" t="s">
        <v>269</v>
      </c>
      <c r="F36" s="263">
        <v>62</v>
      </c>
      <c r="G36" s="178" t="s">
        <v>128</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111"/>
      <c r="AN36">
        <f>((((TJMAX-TAMB)/ThetaJA)/(CLMAX^2))*1000)*NUMFETS^2</f>
        <v>4.7987203412423352</v>
      </c>
      <c r="AO36">
        <f>((TJMAX-TAMB)/ThetaJA)</f>
        <v>1.6129032258064515</v>
      </c>
    </row>
    <row r="37" spans="1:41" x14ac:dyDescent="0.2">
      <c r="A37" s="19"/>
      <c r="B37" s="99"/>
      <c r="C37" s="23"/>
      <c r="D37" s="23"/>
      <c r="E37" s="37" t="s">
        <v>125</v>
      </c>
      <c r="F37" s="207">
        <v>3</v>
      </c>
      <c r="G37" s="178" t="s">
        <v>126</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111"/>
      <c r="AN37" s="27" t="s">
        <v>270</v>
      </c>
    </row>
    <row r="38" spans="1:41" ht="15.75" customHeight="1" x14ac:dyDescent="0.3">
      <c r="A38" s="19"/>
      <c r="B38" s="245"/>
      <c r="C38" s="23"/>
      <c r="D38" s="23"/>
      <c r="E38" s="37" t="s">
        <v>276</v>
      </c>
      <c r="F38" s="207">
        <v>3</v>
      </c>
      <c r="G38" s="178" t="s">
        <v>85</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111"/>
      <c r="AN38" s="33">
        <f>F38</f>
        <v>3</v>
      </c>
    </row>
    <row r="39" spans="1:41" ht="14.25" x14ac:dyDescent="0.2">
      <c r="A39" s="19"/>
      <c r="B39" s="244"/>
      <c r="C39" s="23"/>
      <c r="D39" s="23"/>
      <c r="E39" s="37" t="s">
        <v>129</v>
      </c>
      <c r="F39" s="207">
        <v>175</v>
      </c>
      <c r="G39" s="178" t="s">
        <v>190</v>
      </c>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111"/>
      <c r="AN39" s="273">
        <f t="shared" ref="AN39:AN44" si="0">F39</f>
        <v>175</v>
      </c>
    </row>
    <row r="40" spans="1:41" ht="22.15" customHeight="1" x14ac:dyDescent="0.3">
      <c r="A40" s="19"/>
      <c r="B40" s="315" t="s">
        <v>492</v>
      </c>
      <c r="C40" s="23"/>
      <c r="D40" s="23"/>
      <c r="E40" s="37" t="s">
        <v>386</v>
      </c>
      <c r="F40" s="207">
        <v>120</v>
      </c>
      <c r="G40" s="178" t="s">
        <v>25</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111"/>
      <c r="AN40" s="273">
        <f t="shared" si="0"/>
        <v>120</v>
      </c>
    </row>
    <row r="41" spans="1:41" ht="15.75" customHeight="1" x14ac:dyDescent="0.3">
      <c r="A41" s="19"/>
      <c r="B41" s="315"/>
      <c r="C41" s="23"/>
      <c r="D41" s="23"/>
      <c r="E41" s="37" t="s">
        <v>387</v>
      </c>
      <c r="F41" s="207">
        <v>7</v>
      </c>
      <c r="G41" s="178" t="s">
        <v>25</v>
      </c>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111"/>
      <c r="AN41" s="273">
        <f t="shared" si="0"/>
        <v>7</v>
      </c>
    </row>
    <row r="42" spans="1:41" ht="15.75" x14ac:dyDescent="0.3">
      <c r="A42" s="19"/>
      <c r="B42" s="315"/>
      <c r="C42" s="23"/>
      <c r="D42" s="23"/>
      <c r="E42" s="37" t="s">
        <v>388</v>
      </c>
      <c r="F42" s="207">
        <v>2</v>
      </c>
      <c r="G42" s="178" t="s">
        <v>25</v>
      </c>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111"/>
      <c r="AN42" s="273">
        <f t="shared" si="0"/>
        <v>2</v>
      </c>
    </row>
    <row r="43" spans="1:41" ht="15.75" customHeight="1" x14ac:dyDescent="0.3">
      <c r="A43" s="19"/>
      <c r="B43" s="315"/>
      <c r="C43" s="23"/>
      <c r="D43" s="23"/>
      <c r="E43" s="37" t="s">
        <v>471</v>
      </c>
      <c r="F43" s="207" t="s">
        <v>511</v>
      </c>
      <c r="G43" s="178" t="s">
        <v>25</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111"/>
      <c r="AN43" s="273" t="str">
        <f t="shared" si="0"/>
        <v>NA</v>
      </c>
    </row>
    <row r="44" spans="1:41" ht="19.899999999999999" customHeight="1" x14ac:dyDescent="0.3">
      <c r="A44" s="19"/>
      <c r="B44" s="315"/>
      <c r="C44" s="23"/>
      <c r="D44" s="23"/>
      <c r="E44" s="37" t="s">
        <v>472</v>
      </c>
      <c r="F44" s="207">
        <v>0.7</v>
      </c>
      <c r="G44" s="178" t="s">
        <v>25</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11"/>
      <c r="AN44" s="273">
        <f t="shared" si="0"/>
        <v>0.7</v>
      </c>
    </row>
    <row r="45" spans="1:41" ht="15" customHeight="1" x14ac:dyDescent="0.2">
      <c r="A45" s="19"/>
      <c r="B45" s="315"/>
      <c r="C45" s="23"/>
      <c r="D45" s="23"/>
      <c r="E45" s="37" t="s">
        <v>335</v>
      </c>
      <c r="F45" s="173">
        <f>(IOUTMAX/NUMFETS)^2*RDSON/1000</f>
        <v>0.53333333333333333</v>
      </c>
      <c r="G45" s="178" t="s">
        <v>87</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11"/>
    </row>
    <row r="46" spans="1:41" ht="15" customHeight="1" x14ac:dyDescent="0.3">
      <c r="A46" s="19"/>
      <c r="B46" s="315"/>
      <c r="C46" s="23"/>
      <c r="D46" s="23"/>
      <c r="E46" s="37" t="s">
        <v>275</v>
      </c>
      <c r="F46" s="173">
        <f>TAMB+(FETPDISS*ThetaJA)</f>
        <v>108.06666666666666</v>
      </c>
      <c r="G46" s="178" t="s">
        <v>127</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11"/>
    </row>
    <row r="47" spans="1:41" ht="15" customHeight="1" x14ac:dyDescent="0.25">
      <c r="A47" s="19"/>
      <c r="B47" s="98"/>
      <c r="C47" s="23"/>
      <c r="D47" s="23"/>
      <c r="E47" s="66" t="s">
        <v>452</v>
      </c>
      <c r="F47" s="173">
        <f>Equations!F29</f>
        <v>240</v>
      </c>
      <c r="G47" s="178" t="s">
        <v>87</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111"/>
    </row>
    <row r="48" spans="1:41" ht="15" customHeight="1" x14ac:dyDescent="0.25">
      <c r="A48" s="19"/>
      <c r="B48" s="98"/>
      <c r="C48" s="23"/>
      <c r="D48" s="23"/>
      <c r="E48" s="66" t="s">
        <v>291</v>
      </c>
      <c r="F48" s="294">
        <v>483</v>
      </c>
      <c r="G48" s="178" t="s">
        <v>87</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111"/>
    </row>
    <row r="49" spans="1:40" ht="15" customHeight="1" x14ac:dyDescent="0.25">
      <c r="A49" s="19"/>
      <c r="B49" s="98"/>
      <c r="C49" s="23"/>
      <c r="D49" s="23"/>
      <c r="E49" s="66" t="s">
        <v>292</v>
      </c>
      <c r="F49" s="151">
        <f>Equations!F31</f>
        <v>62.857142857142861</v>
      </c>
      <c r="G49" s="184" t="s">
        <v>84</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111"/>
    </row>
    <row r="50" spans="1:40" ht="15" customHeight="1" x14ac:dyDescent="0.25">
      <c r="A50" s="19"/>
      <c r="B50" s="98"/>
      <c r="C50" s="23"/>
      <c r="D50" s="23"/>
      <c r="E50" s="66" t="s">
        <v>295</v>
      </c>
      <c r="F50" s="207">
        <v>28.7</v>
      </c>
      <c r="G50" s="184" t="s">
        <v>84</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111"/>
    </row>
    <row r="51" spans="1:40" ht="15" customHeight="1" thickBot="1" x14ac:dyDescent="0.25">
      <c r="A51" s="19"/>
      <c r="B51" s="99"/>
      <c r="C51" s="23"/>
      <c r="D51" s="23"/>
      <c r="E51" s="66" t="s">
        <v>298</v>
      </c>
      <c r="F51" s="151">
        <f>Equations!F33</f>
        <v>243.9</v>
      </c>
      <c r="G51" s="178" t="s">
        <v>87</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111"/>
    </row>
    <row r="52" spans="1:40" ht="15" x14ac:dyDescent="0.25">
      <c r="A52" s="19"/>
      <c r="B52" s="154" t="s">
        <v>135</v>
      </c>
      <c r="C52" s="96"/>
      <c r="D52" s="96"/>
      <c r="E52" s="104" t="s">
        <v>193</v>
      </c>
      <c r="F52" s="208">
        <v>45</v>
      </c>
      <c r="G52" s="183" t="s">
        <v>86</v>
      </c>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132"/>
      <c r="AN52" s="33"/>
    </row>
    <row r="53" spans="1:40" x14ac:dyDescent="0.2">
      <c r="A53" s="19"/>
      <c r="B53" s="105"/>
      <c r="C53" s="23"/>
      <c r="D53" s="23"/>
      <c r="E53" s="37" t="s">
        <v>136</v>
      </c>
      <c r="F53" s="207" t="s">
        <v>138</v>
      </c>
      <c r="G53" s="179"/>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111"/>
      <c r="AN53" s="33"/>
    </row>
    <row r="54" spans="1:40" x14ac:dyDescent="0.2">
      <c r="A54" s="19"/>
      <c r="B54" s="99"/>
      <c r="C54" s="23"/>
      <c r="D54" s="23"/>
      <c r="E54" s="37" t="s">
        <v>137</v>
      </c>
      <c r="F54" s="207">
        <v>0.1</v>
      </c>
      <c r="G54" s="179" t="str">
        <f>IF(F53="Constant Current","A","Ohms")</f>
        <v>A</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111"/>
      <c r="AN54" t="s">
        <v>138</v>
      </c>
    </row>
    <row r="55" spans="1:40" x14ac:dyDescent="0.2">
      <c r="A55" s="19"/>
      <c r="B55" s="99"/>
      <c r="C55" s="23"/>
      <c r="D55" s="23"/>
      <c r="E55" s="66" t="s">
        <v>506</v>
      </c>
      <c r="F55" s="206" t="s">
        <v>199</v>
      </c>
      <c r="G55" s="179"/>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111"/>
      <c r="AN55" t="s">
        <v>139</v>
      </c>
    </row>
    <row r="56" spans="1:40" x14ac:dyDescent="0.2">
      <c r="A56" s="19"/>
      <c r="B56" s="99"/>
      <c r="C56" s="23"/>
      <c r="D56" s="23"/>
      <c r="E56" s="37" t="s">
        <v>314</v>
      </c>
      <c r="F56" s="55">
        <f>Start_up!M2</f>
        <v>300</v>
      </c>
      <c r="G56" s="178" t="s">
        <v>8</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111"/>
      <c r="AN56" s="33"/>
    </row>
    <row r="57" spans="1:40" x14ac:dyDescent="0.2">
      <c r="A57" s="19"/>
      <c r="B57" s="99"/>
      <c r="C57" s="23"/>
      <c r="D57" s="23"/>
      <c r="E57" s="37" t="s">
        <v>321</v>
      </c>
      <c r="F57" s="169">
        <f>Start_up!O2</f>
        <v>0.61832061068702293</v>
      </c>
      <c r="G57" s="178"/>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111"/>
      <c r="AN57" s="33"/>
    </row>
    <row r="58" spans="1:40" ht="13.15" customHeight="1" x14ac:dyDescent="0.2">
      <c r="A58" s="19"/>
      <c r="B58" s="105"/>
      <c r="C58" s="23"/>
      <c r="D58" s="122"/>
      <c r="E58" s="174" t="s">
        <v>315</v>
      </c>
      <c r="F58" s="55">
        <f>Equations!F46</f>
        <v>450</v>
      </c>
      <c r="G58" s="179" t="s">
        <v>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11"/>
    </row>
    <row r="59" spans="1:40" ht="12.6" customHeight="1" x14ac:dyDescent="0.2">
      <c r="A59" s="19"/>
      <c r="B59" s="99"/>
      <c r="C59" s="23"/>
      <c r="D59" s="122"/>
      <c r="E59" s="175" t="s">
        <v>319</v>
      </c>
      <c r="F59" s="55">
        <f>Equations!F47</f>
        <v>8653.8461538461543</v>
      </c>
      <c r="G59" s="178" t="s">
        <v>120</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111"/>
    </row>
    <row r="60" spans="1:40" ht="15" customHeight="1" x14ac:dyDescent="0.2">
      <c r="A60" s="19"/>
      <c r="B60" s="99"/>
      <c r="C60" s="23"/>
      <c r="D60" s="122"/>
      <c r="E60" s="175" t="s">
        <v>322</v>
      </c>
      <c r="F60" s="207">
        <v>82</v>
      </c>
      <c r="G60" s="178" t="s">
        <v>120</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111"/>
    </row>
    <row r="61" spans="1:40" ht="15" customHeight="1" x14ac:dyDescent="0.2">
      <c r="A61" s="19"/>
      <c r="B61" s="99"/>
      <c r="C61" s="23"/>
      <c r="D61" s="122"/>
      <c r="E61" s="175" t="s">
        <v>374</v>
      </c>
      <c r="F61" s="55">
        <f>Equations!F49</f>
        <v>4.2640000000000002</v>
      </c>
      <c r="G61" s="178" t="s">
        <v>8</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111"/>
    </row>
    <row r="62" spans="1:40" ht="15" customHeight="1" x14ac:dyDescent="0.2">
      <c r="A62" s="19"/>
      <c r="B62" s="99"/>
      <c r="C62" s="23"/>
      <c r="D62" s="122"/>
      <c r="E62" s="175" t="s">
        <v>330</v>
      </c>
      <c r="F62" s="55">
        <f>Equations!F50</f>
        <v>1.7221230869499415</v>
      </c>
      <c r="G62" s="178"/>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111"/>
    </row>
    <row r="63" spans="1:40" ht="15" customHeight="1" x14ac:dyDescent="0.2">
      <c r="A63" s="19"/>
      <c r="B63" s="99"/>
      <c r="C63" s="23"/>
      <c r="D63" s="122"/>
      <c r="E63" s="175" t="s">
        <v>379</v>
      </c>
      <c r="F63" s="206" t="s">
        <v>199</v>
      </c>
      <c r="G63" s="178"/>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11"/>
    </row>
    <row r="64" spans="1:40" ht="15" customHeight="1" x14ac:dyDescent="0.2">
      <c r="A64" s="19"/>
      <c r="B64" s="99"/>
      <c r="C64" s="23"/>
      <c r="D64" s="122"/>
      <c r="E64" s="175" t="s">
        <v>384</v>
      </c>
      <c r="F64" s="55">
        <f>dv_dt_recommendations!J28</f>
        <v>0.27824085463422776</v>
      </c>
      <c r="G64" s="178" t="s">
        <v>338</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111"/>
    </row>
    <row r="65" spans="1:40" ht="15" customHeight="1" x14ac:dyDescent="0.2">
      <c r="A65" s="19"/>
      <c r="B65" s="99"/>
      <c r="C65" s="23"/>
      <c r="D65" s="122"/>
      <c r="E65" s="175" t="s">
        <v>385</v>
      </c>
      <c r="F65" s="55">
        <f>dv_dt_recommendations!J29</f>
        <v>0.10708559822108767</v>
      </c>
      <c r="G65" s="178" t="s">
        <v>338</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11"/>
    </row>
    <row r="66" spans="1:40" ht="15" customHeight="1" x14ac:dyDescent="0.2">
      <c r="A66" s="19"/>
      <c r="B66" s="99"/>
      <c r="C66" s="23"/>
      <c r="D66" s="122"/>
      <c r="E66" s="34" t="s">
        <v>372</v>
      </c>
      <c r="F66" s="207">
        <v>0.2</v>
      </c>
      <c r="G66" s="178" t="s">
        <v>338</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111"/>
    </row>
    <row r="67" spans="1:40" ht="15" customHeight="1" x14ac:dyDescent="0.2">
      <c r="A67" s="19"/>
      <c r="B67" s="99"/>
      <c r="C67" s="23"/>
      <c r="D67" s="122"/>
      <c r="E67" s="34" t="s">
        <v>361</v>
      </c>
      <c r="F67" s="55">
        <f>Equations!F53</f>
        <v>100</v>
      </c>
      <c r="G67" s="176" t="s">
        <v>120</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111"/>
    </row>
    <row r="68" spans="1:40" ht="15" customHeight="1" x14ac:dyDescent="0.2">
      <c r="A68" s="19"/>
      <c r="B68" s="313" t="s">
        <v>493</v>
      </c>
      <c r="C68" s="314"/>
      <c r="D68" s="122"/>
      <c r="E68" s="34" t="s">
        <v>362</v>
      </c>
      <c r="F68" s="207">
        <v>100</v>
      </c>
      <c r="G68" s="178" t="s">
        <v>120</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111"/>
    </row>
    <row r="69" spans="1:40" ht="15" customHeight="1" x14ac:dyDescent="0.2">
      <c r="A69" s="19"/>
      <c r="B69" s="313"/>
      <c r="C69" s="314"/>
      <c r="D69" s="122"/>
      <c r="E69" s="34" t="s">
        <v>491</v>
      </c>
      <c r="F69" s="55">
        <f>Equations!F55</f>
        <v>0.2</v>
      </c>
      <c r="G69" s="178" t="s">
        <v>338</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111"/>
    </row>
    <row r="70" spans="1:40" ht="16.899999999999999" customHeight="1" x14ac:dyDescent="0.2">
      <c r="A70" s="19"/>
      <c r="B70" s="313"/>
      <c r="C70" s="314"/>
      <c r="D70" s="122"/>
      <c r="E70" s="34" t="s">
        <v>367</v>
      </c>
      <c r="F70" s="55">
        <f>Equations!F62</f>
        <v>3.5927610964575072</v>
      </c>
      <c r="G70" s="178"/>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111"/>
    </row>
    <row r="71" spans="1:40" ht="16.899999999999999" customHeight="1" x14ac:dyDescent="0.2">
      <c r="A71" s="19"/>
      <c r="B71" s="313"/>
      <c r="C71" s="314"/>
      <c r="D71" s="122"/>
      <c r="E71" s="34" t="s">
        <v>364</v>
      </c>
      <c r="F71" s="207">
        <v>0.52</v>
      </c>
      <c r="G71" s="178" t="s">
        <v>8</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111"/>
    </row>
    <row r="72" spans="1:40" ht="16.899999999999999" customHeight="1" x14ac:dyDescent="0.2">
      <c r="A72" s="19"/>
      <c r="B72" s="313"/>
      <c r="C72" s="314"/>
      <c r="D72" s="122"/>
      <c r="E72" s="34" t="s">
        <v>365</v>
      </c>
      <c r="F72" s="55">
        <f>Equations!F67</f>
        <v>10</v>
      </c>
      <c r="G72" s="178" t="s">
        <v>120</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111"/>
    </row>
    <row r="73" spans="1:40" ht="16.899999999999999" customHeight="1" x14ac:dyDescent="0.3">
      <c r="A73" s="19"/>
      <c r="B73" s="99"/>
      <c r="C73" s="23"/>
      <c r="D73" s="122"/>
      <c r="E73" s="198" t="s">
        <v>369</v>
      </c>
      <c r="F73" s="207">
        <v>10</v>
      </c>
      <c r="G73" s="178" t="s">
        <v>120</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111"/>
    </row>
    <row r="74" spans="1:40" ht="15" customHeight="1" x14ac:dyDescent="0.2">
      <c r="A74" s="19"/>
      <c r="B74" s="99"/>
      <c r="C74" s="23"/>
      <c r="D74" s="122"/>
      <c r="E74" s="175" t="s">
        <v>371</v>
      </c>
      <c r="F74" s="55">
        <f>Equations!F69</f>
        <v>0.52</v>
      </c>
      <c r="G74" s="178" t="s">
        <v>8</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116" t="s">
        <v>271</v>
      </c>
    </row>
    <row r="75" spans="1:40" ht="15" customHeight="1" x14ac:dyDescent="0.2">
      <c r="A75" s="19"/>
      <c r="B75" s="99"/>
      <c r="C75" s="23"/>
      <c r="D75" s="122"/>
      <c r="E75" s="175" t="s">
        <v>375</v>
      </c>
      <c r="F75" s="55">
        <f>Equations!F71</f>
        <v>1.7221230869499415</v>
      </c>
      <c r="G75" s="179"/>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116"/>
    </row>
    <row r="76" spans="1:40" ht="14.45" customHeight="1" x14ac:dyDescent="0.2">
      <c r="A76" s="19"/>
      <c r="B76" s="99"/>
      <c r="C76" s="23"/>
      <c r="D76" s="122"/>
      <c r="E76" s="174" t="s">
        <v>201</v>
      </c>
      <c r="F76" s="62">
        <f>Equations!F98</f>
        <v>8.125</v>
      </c>
      <c r="G76" s="179" t="s">
        <v>8</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111"/>
    </row>
    <row r="77" spans="1:40" ht="15" customHeight="1" thickBot="1" x14ac:dyDescent="0.25">
      <c r="A77" s="19"/>
      <c r="B77" s="99"/>
      <c r="C77" s="23"/>
      <c r="D77" s="122"/>
      <c r="E77" s="174" t="s">
        <v>91</v>
      </c>
      <c r="F77" s="55">
        <f>Equations!F101</f>
        <v>82.877142857142871</v>
      </c>
      <c r="G77" s="178" t="s">
        <v>8</v>
      </c>
      <c r="H77" s="13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111"/>
    </row>
    <row r="78" spans="1:40" ht="15" customHeight="1" x14ac:dyDescent="0.25">
      <c r="A78" s="19"/>
      <c r="B78" s="154" t="s">
        <v>215</v>
      </c>
      <c r="C78" s="146"/>
      <c r="D78" s="96"/>
      <c r="E78" s="110" t="s">
        <v>21</v>
      </c>
      <c r="F78" s="208" t="s">
        <v>20</v>
      </c>
      <c r="G78" s="185"/>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132"/>
      <c r="AN78" s="33" t="s">
        <v>19</v>
      </c>
    </row>
    <row r="79" spans="1:40" ht="15" customHeight="1" x14ac:dyDescent="0.2">
      <c r="A79" s="19"/>
      <c r="B79" s="99"/>
      <c r="C79" s="23"/>
      <c r="D79" s="23"/>
      <c r="E79" s="66" t="s">
        <v>92</v>
      </c>
      <c r="F79" s="209">
        <v>38</v>
      </c>
      <c r="G79" s="186" t="s">
        <v>86</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111"/>
      <c r="AN79" s="33" t="s">
        <v>20</v>
      </c>
    </row>
    <row r="80" spans="1:40" ht="15" customHeight="1" x14ac:dyDescent="0.2">
      <c r="A80" s="19"/>
      <c r="B80" s="99"/>
      <c r="C80" s="23"/>
      <c r="D80" s="23"/>
      <c r="E80" s="66" t="s">
        <v>93</v>
      </c>
      <c r="F80" s="209">
        <v>35</v>
      </c>
      <c r="G80" s="186" t="s">
        <v>86</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111"/>
      <c r="AN80" t="s">
        <v>447</v>
      </c>
    </row>
    <row r="81" spans="1:40" ht="15" customHeight="1" x14ac:dyDescent="0.2">
      <c r="A81" s="19"/>
      <c r="B81" s="99"/>
      <c r="C81" s="23"/>
      <c r="D81" s="23"/>
      <c r="E81" s="66" t="s">
        <v>102</v>
      </c>
      <c r="F81" s="209">
        <v>65</v>
      </c>
      <c r="G81" s="186" t="s">
        <v>86</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111"/>
      <c r="AN81" t="s">
        <v>448</v>
      </c>
    </row>
    <row r="82" spans="1:40" ht="15" customHeight="1" x14ac:dyDescent="0.2">
      <c r="A82" s="19"/>
      <c r="B82" s="99"/>
      <c r="C82" s="23"/>
      <c r="D82" s="23"/>
      <c r="E82" s="121" t="s">
        <v>94</v>
      </c>
      <c r="F82" s="209">
        <v>63</v>
      </c>
      <c r="G82" s="186" t="s">
        <v>86</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111"/>
    </row>
    <row r="83" spans="1:40" ht="15" customHeight="1" x14ac:dyDescent="0.2">
      <c r="A83" s="19"/>
      <c r="B83" s="99"/>
      <c r="C83" s="23"/>
      <c r="D83" s="23"/>
      <c r="E83" s="120" t="s">
        <v>268</v>
      </c>
      <c r="F83" s="60">
        <f>IF(F78="Option A",Equations!F119,Equations!G119)</f>
        <v>150</v>
      </c>
      <c r="G83" s="187" t="s">
        <v>84</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111"/>
    </row>
    <row r="84" spans="1:40" ht="15" customHeight="1" x14ac:dyDescent="0.2">
      <c r="A84" s="19"/>
      <c r="B84" s="99"/>
      <c r="C84" s="23"/>
      <c r="D84" s="23"/>
      <c r="E84" s="119" t="s">
        <v>22</v>
      </c>
      <c r="F84" s="60">
        <f>IF(F78="Option A",Equations!F120,Equations!G120)</f>
        <v>11.43911439114391</v>
      </c>
      <c r="G84" s="187" t="s">
        <v>84</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111"/>
    </row>
    <row r="85" spans="1:40" ht="15" customHeight="1" x14ac:dyDescent="0.2">
      <c r="A85" s="19"/>
      <c r="B85" s="99"/>
      <c r="C85" s="23"/>
      <c r="D85" s="23"/>
      <c r="E85" s="119" t="s">
        <v>23</v>
      </c>
      <c r="F85" s="60">
        <f>IF(F78="Option A",Equations!F121,Equations!G121)</f>
        <v>95.238095238095241</v>
      </c>
      <c r="G85" s="187" t="s">
        <v>84</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111"/>
    </row>
    <row r="86" spans="1:40" ht="15" customHeight="1" x14ac:dyDescent="0.2">
      <c r="A86" s="19"/>
      <c r="B86" s="99"/>
      <c r="C86" s="23"/>
      <c r="D86" s="23"/>
      <c r="E86" s="119" t="s">
        <v>24</v>
      </c>
      <c r="F86" s="60">
        <f>IF(F78="Option A",Equations!F122,Equations!G122)</f>
        <v>3.7461738772899631</v>
      </c>
      <c r="G86" s="186" t="s">
        <v>84</v>
      </c>
      <c r="H86" s="23"/>
      <c r="I86" s="23"/>
      <c r="J86" s="114"/>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111"/>
    </row>
    <row r="87" spans="1:40" ht="15" customHeight="1" x14ac:dyDescent="0.2">
      <c r="A87" s="19"/>
      <c r="B87" s="99"/>
      <c r="C87" s="23"/>
      <c r="D87" s="23"/>
      <c r="E87" s="66" t="s">
        <v>105</v>
      </c>
      <c r="F87" s="209">
        <v>200</v>
      </c>
      <c r="G87" s="187" t="s">
        <v>84</v>
      </c>
      <c r="H87" s="23"/>
      <c r="I87" s="23"/>
      <c r="J87" s="114"/>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111"/>
    </row>
    <row r="88" spans="1:40" ht="15" customHeight="1" x14ac:dyDescent="0.2">
      <c r="A88" s="19"/>
      <c r="B88" s="99"/>
      <c r="C88" s="23"/>
      <c r="D88" s="23"/>
      <c r="E88" s="66" t="s">
        <v>106</v>
      </c>
      <c r="F88" s="209">
        <v>14.7</v>
      </c>
      <c r="G88" s="187" t="s">
        <v>84</v>
      </c>
      <c r="H88" s="23"/>
      <c r="I88" s="23"/>
      <c r="J88" s="114"/>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111"/>
    </row>
    <row r="89" spans="1:40" ht="15" customHeight="1" x14ac:dyDescent="0.2">
      <c r="A89" s="19"/>
      <c r="B89" s="99"/>
      <c r="C89" s="23"/>
      <c r="D89" s="23"/>
      <c r="E89" s="66" t="s">
        <v>107</v>
      </c>
      <c r="F89" s="209">
        <v>178</v>
      </c>
      <c r="G89" s="187" t="s">
        <v>84</v>
      </c>
      <c r="H89" s="23"/>
      <c r="I89" s="23"/>
      <c r="J89" s="114"/>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111"/>
    </row>
    <row r="90" spans="1:40" ht="15" customHeight="1" x14ac:dyDescent="0.2">
      <c r="A90" s="19"/>
      <c r="B90" s="99"/>
      <c r="C90" s="23"/>
      <c r="D90" s="23"/>
      <c r="E90" s="66" t="s">
        <v>108</v>
      </c>
      <c r="F90" s="209">
        <v>7.87</v>
      </c>
      <c r="G90" s="187" t="s">
        <v>84</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111"/>
    </row>
    <row r="91" spans="1:40" ht="15" customHeight="1" x14ac:dyDescent="0.2">
      <c r="A91" s="19"/>
      <c r="B91" s="99"/>
      <c r="C91" s="23"/>
      <c r="D91" s="23"/>
      <c r="E91" s="23"/>
      <c r="F91" s="23"/>
      <c r="G91" s="188"/>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111"/>
    </row>
    <row r="92" spans="1:40" ht="15" customHeight="1" thickBot="1" x14ac:dyDescent="0.25">
      <c r="A92" s="19"/>
      <c r="B92" s="99"/>
      <c r="C92" s="112" t="s">
        <v>54</v>
      </c>
      <c r="D92" s="113" t="s">
        <v>35</v>
      </c>
      <c r="E92" s="113" t="s">
        <v>36</v>
      </c>
      <c r="F92" s="113" t="s">
        <v>37</v>
      </c>
      <c r="G92" s="188"/>
      <c r="H92" s="122"/>
      <c r="I92" s="122"/>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111"/>
    </row>
    <row r="93" spans="1:40" ht="15" customHeight="1" x14ac:dyDescent="0.2">
      <c r="A93" s="19"/>
      <c r="B93" s="99"/>
      <c r="C93" s="37" t="s">
        <v>95</v>
      </c>
      <c r="D93" s="51">
        <f>IF($F$78="Option A",Equations!F123,Equations!G123)</f>
        <v>38.399115646258508</v>
      </c>
      <c r="E93" s="52">
        <f>IF($F$78="Option A",Equations!F124,Equations!G124)</f>
        <v>40.221496598639455</v>
      </c>
      <c r="F93" s="53">
        <f>IF($F$78="Option A",Equations!F125,Equations!G125)</f>
        <v>42.043877551020401</v>
      </c>
      <c r="G93" s="186" t="s">
        <v>86</v>
      </c>
      <c r="H93" s="122"/>
      <c r="I93" s="122"/>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111"/>
    </row>
    <row r="94" spans="1:40" ht="15" customHeight="1" x14ac:dyDescent="0.2">
      <c r="A94" s="19"/>
      <c r="B94" s="99"/>
      <c r="C94" s="37" t="s">
        <v>96</v>
      </c>
      <c r="D94" s="54">
        <f>IF($F$78="Option A",Equations!F126,Equations!G126)</f>
        <v>35.199115646258505</v>
      </c>
      <c r="E94" s="55">
        <f>IF($F$78="Option A",Equations!F127,Equations!G127)</f>
        <v>36.221496598639462</v>
      </c>
      <c r="F94" s="56">
        <f>IF($F$78="Option A",Equations!F128,Equations!G128)</f>
        <v>37.243877551020404</v>
      </c>
      <c r="G94" s="186" t="s">
        <v>86</v>
      </c>
      <c r="H94" s="122"/>
      <c r="I94" s="122"/>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111"/>
    </row>
    <row r="95" spans="1:40" ht="15" customHeight="1" x14ac:dyDescent="0.2">
      <c r="A95" s="19"/>
      <c r="B95" s="99"/>
      <c r="C95" s="37" t="s">
        <v>97</v>
      </c>
      <c r="D95" s="54">
        <f>IF($F$78="Option A",Equations!F129,Equations!G129)</f>
        <v>56.445908513341806</v>
      </c>
      <c r="E95" s="55">
        <f>IF($F$78="Option A",Equations!F130,Equations!G130)</f>
        <v>58.099135959339264</v>
      </c>
      <c r="F95" s="56">
        <f>IF($F$78="Option A",Equations!F131,Equations!G131)</f>
        <v>59.752363405336716</v>
      </c>
      <c r="G95" s="186" t="s">
        <v>86</v>
      </c>
      <c r="H95" s="122"/>
      <c r="I95" s="122"/>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111"/>
    </row>
    <row r="96" spans="1:40" ht="15" customHeight="1" thickBot="1" x14ac:dyDescent="0.25">
      <c r="A96" s="19"/>
      <c r="B96" s="99"/>
      <c r="C96" s="37" t="s">
        <v>98</v>
      </c>
      <c r="D96" s="57">
        <f>IF($F$78="Option A",Equations!F132,Equations!G132)</f>
        <v>52.173908513341807</v>
      </c>
      <c r="E96" s="58">
        <f>IF($F$78="Option A",Equations!F133,Equations!G133)</f>
        <v>54.361135959339265</v>
      </c>
      <c r="F96" s="59">
        <f>IF($F$78="Option A",Equations!F134,Equations!G134)</f>
        <v>56.90436340533671</v>
      </c>
      <c r="G96" s="186" t="s">
        <v>86</v>
      </c>
      <c r="H96" s="122"/>
      <c r="I96" s="122"/>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111"/>
    </row>
    <row r="97" spans="1:39" ht="15" customHeight="1" x14ac:dyDescent="0.2">
      <c r="A97" s="19"/>
      <c r="B97" s="99"/>
      <c r="C97" s="311" t="s">
        <v>458</v>
      </c>
      <c r="D97" s="311"/>
      <c r="E97" s="311"/>
      <c r="F97" s="311"/>
      <c r="G97" s="312"/>
      <c r="H97" s="122"/>
      <c r="I97" s="122"/>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111"/>
    </row>
    <row r="98" spans="1:39" ht="15" customHeight="1" x14ac:dyDescent="0.2">
      <c r="A98" s="19"/>
      <c r="B98" s="99"/>
      <c r="C98" s="311"/>
      <c r="D98" s="311"/>
      <c r="E98" s="311"/>
      <c r="F98" s="311"/>
      <c r="G98" s="312"/>
      <c r="H98" s="122"/>
      <c r="I98" s="122"/>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111"/>
    </row>
    <row r="99" spans="1:39" ht="15" customHeight="1" x14ac:dyDescent="0.2">
      <c r="A99" s="19"/>
      <c r="B99" s="99"/>
      <c r="C99" s="311"/>
      <c r="D99" s="311"/>
      <c r="E99" s="311"/>
      <c r="F99" s="311"/>
      <c r="G99" s="312"/>
      <c r="H99" s="122"/>
      <c r="I99" s="122"/>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111"/>
    </row>
    <row r="100" spans="1:39" ht="15" customHeight="1" x14ac:dyDescent="0.3">
      <c r="A100" s="19"/>
      <c r="B100" s="98"/>
      <c r="C100" s="23"/>
      <c r="D100" s="23"/>
      <c r="E100" s="37" t="s">
        <v>114</v>
      </c>
      <c r="F100" s="210">
        <v>10</v>
      </c>
      <c r="G100" s="189" t="s">
        <v>84</v>
      </c>
      <c r="H100" s="23"/>
      <c r="I100" s="9"/>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111"/>
    </row>
    <row r="101" spans="1:39" ht="15" customHeight="1" x14ac:dyDescent="0.2">
      <c r="A101" s="19"/>
      <c r="B101" s="99"/>
      <c r="C101" s="23"/>
      <c r="D101" s="23"/>
      <c r="E101" s="37" t="s">
        <v>115</v>
      </c>
      <c r="F101" s="210">
        <v>38</v>
      </c>
      <c r="G101" s="190" t="s">
        <v>86</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111"/>
    </row>
    <row r="102" spans="1:39" ht="15" customHeight="1" x14ac:dyDescent="0.2">
      <c r="A102" s="19"/>
      <c r="B102" s="99"/>
      <c r="C102" s="23"/>
      <c r="D102" s="23"/>
      <c r="E102" s="37" t="s">
        <v>116</v>
      </c>
      <c r="F102" s="210">
        <v>3</v>
      </c>
      <c r="G102" s="190" t="s">
        <v>86</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111"/>
    </row>
    <row r="103" spans="1:39" ht="15" customHeight="1" x14ac:dyDescent="0.2">
      <c r="A103" s="19"/>
      <c r="B103" s="99"/>
      <c r="C103" s="23"/>
      <c r="D103" s="23"/>
      <c r="E103" s="125" t="s">
        <v>465</v>
      </c>
      <c r="F103" s="63">
        <f>F102/('Device Parameters'!D52/1000)</f>
        <v>150</v>
      </c>
      <c r="G103" s="189" t="s">
        <v>84</v>
      </c>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111"/>
    </row>
    <row r="104" spans="1:39" ht="15" customHeight="1" x14ac:dyDescent="0.2">
      <c r="A104" s="19"/>
      <c r="B104" s="99"/>
      <c r="C104" s="23"/>
      <c r="D104" s="23"/>
      <c r="E104" s="125" t="s">
        <v>466</v>
      </c>
      <c r="F104" s="144">
        <f>F103*'Device Parameters'!D51/(F101-'Device Parameters'!D51)</f>
        <v>10.382667416994936</v>
      </c>
      <c r="G104" s="189" t="s">
        <v>84</v>
      </c>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111"/>
    </row>
    <row r="105" spans="1:39" ht="15" customHeight="1" x14ac:dyDescent="0.2">
      <c r="A105" s="19"/>
      <c r="B105" s="99"/>
      <c r="C105" s="23"/>
      <c r="D105" s="23"/>
      <c r="E105" s="37" t="s">
        <v>467</v>
      </c>
      <c r="F105" s="210">
        <v>150</v>
      </c>
      <c r="G105" s="189" t="s">
        <v>84</v>
      </c>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111"/>
    </row>
    <row r="106" spans="1:39" ht="15" customHeight="1" x14ac:dyDescent="0.2">
      <c r="A106" s="19"/>
      <c r="B106" s="99"/>
      <c r="C106" s="23"/>
      <c r="D106" s="23"/>
      <c r="E106" s="125" t="s">
        <v>466</v>
      </c>
      <c r="F106" s="210">
        <v>9.76</v>
      </c>
      <c r="G106" s="189" t="s">
        <v>84</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111"/>
    </row>
    <row r="107" spans="1:39" ht="15" customHeight="1" x14ac:dyDescent="0.2">
      <c r="A107" s="19"/>
      <c r="B107" s="99"/>
      <c r="C107" s="23"/>
      <c r="D107" s="23"/>
      <c r="E107" s="125" t="s">
        <v>238</v>
      </c>
      <c r="F107" s="144">
        <f>Equations!F104</f>
        <v>40.267377049180332</v>
      </c>
      <c r="G107" s="190" t="s">
        <v>86</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111"/>
    </row>
    <row r="108" spans="1:39" ht="15" customHeight="1" thickBot="1" x14ac:dyDescent="0.25">
      <c r="A108" s="19"/>
      <c r="B108" s="99"/>
      <c r="C108" s="101"/>
      <c r="D108" s="101"/>
      <c r="E108" s="125" t="s">
        <v>239</v>
      </c>
      <c r="F108" s="148">
        <f>Equations!F107/1000</f>
        <v>3</v>
      </c>
      <c r="G108" s="190" t="s">
        <v>86</v>
      </c>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15"/>
    </row>
    <row r="109" spans="1:39" ht="18.75" customHeight="1" x14ac:dyDescent="0.25">
      <c r="A109" s="19"/>
      <c r="B109" s="154" t="s">
        <v>220</v>
      </c>
      <c r="C109" s="96"/>
      <c r="D109" s="96"/>
      <c r="E109" s="134" t="s">
        <v>453</v>
      </c>
      <c r="F109" s="109">
        <f>Rs</f>
        <v>1</v>
      </c>
      <c r="G109" s="191" t="s">
        <v>85</v>
      </c>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132"/>
    </row>
    <row r="110" spans="1:39" ht="15" customHeight="1" x14ac:dyDescent="0.25">
      <c r="A110" s="19"/>
      <c r="B110" s="98"/>
      <c r="C110" s="23"/>
      <c r="D110" s="23"/>
      <c r="E110" s="117" t="s">
        <v>218</v>
      </c>
      <c r="F110" s="118" t="str">
        <f>IF(F22="No", "DNP",RDIV1)</f>
        <v>DNP</v>
      </c>
      <c r="G110" s="192" t="s">
        <v>87</v>
      </c>
      <c r="H110" s="23"/>
      <c r="I110" s="23"/>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55"/>
    </row>
    <row r="111" spans="1:39" ht="14.25" customHeight="1" thickBot="1" x14ac:dyDescent="0.3">
      <c r="A111" s="19"/>
      <c r="B111" s="98"/>
      <c r="C111" s="23"/>
      <c r="D111" s="23"/>
      <c r="E111" s="117" t="s">
        <v>219</v>
      </c>
      <c r="F111" s="118">
        <f>IF(F22="No",0,RDIV2)</f>
        <v>0</v>
      </c>
      <c r="G111" s="192" t="s">
        <v>87</v>
      </c>
      <c r="H111" s="23"/>
      <c r="I111" s="23"/>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55"/>
    </row>
    <row r="112" spans="1:39" ht="15" customHeight="1" x14ac:dyDescent="0.2">
      <c r="A112" s="19"/>
      <c r="B112" s="99"/>
      <c r="C112" s="23"/>
      <c r="D112" s="23"/>
      <c r="E112" s="65" t="s">
        <v>17</v>
      </c>
      <c r="F112" s="45">
        <f>F50</f>
        <v>28.7</v>
      </c>
      <c r="G112" s="193" t="s">
        <v>84</v>
      </c>
      <c r="H112" s="23"/>
      <c r="I112" s="279"/>
      <c r="J112" s="280"/>
      <c r="K112" s="281" t="s">
        <v>460</v>
      </c>
      <c r="L112" s="282" t="s">
        <v>162</v>
      </c>
      <c r="M112" s="9"/>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8"/>
    </row>
    <row r="113" spans="1:40" ht="15" customHeight="1" x14ac:dyDescent="0.2">
      <c r="A113" s="19"/>
      <c r="B113" s="99"/>
      <c r="C113" s="23"/>
      <c r="D113" s="23"/>
      <c r="E113" s="66" t="s">
        <v>454</v>
      </c>
      <c r="F113" s="55">
        <f>IF(F55="YES", F73, F60)</f>
        <v>10</v>
      </c>
      <c r="G113" s="194" t="s">
        <v>120</v>
      </c>
      <c r="H113" s="23"/>
      <c r="I113" s="283"/>
      <c r="J113" s="276" t="s">
        <v>221</v>
      </c>
      <c r="K113" s="145">
        <f>F30</f>
        <v>50</v>
      </c>
      <c r="L113" s="284" t="s">
        <v>25</v>
      </c>
      <c r="M113" s="9"/>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116"/>
    </row>
    <row r="114" spans="1:40" ht="15" customHeight="1" x14ac:dyDescent="0.2">
      <c r="A114" s="19"/>
      <c r="B114" s="99"/>
      <c r="C114" s="23"/>
      <c r="D114" s="23"/>
      <c r="E114" s="65" t="s">
        <v>11</v>
      </c>
      <c r="F114" s="46">
        <f>F87</f>
        <v>200</v>
      </c>
      <c r="G114" s="193" t="s">
        <v>84</v>
      </c>
      <c r="H114" s="23"/>
      <c r="I114" s="283"/>
      <c r="J114" s="276" t="s">
        <v>172</v>
      </c>
      <c r="K114" s="140">
        <f>F51</f>
        <v>243.9</v>
      </c>
      <c r="L114" s="284" t="s">
        <v>87</v>
      </c>
      <c r="M114" s="9"/>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116"/>
    </row>
    <row r="115" spans="1:40" ht="15" customHeight="1" x14ac:dyDescent="0.2">
      <c r="A115" s="19"/>
      <c r="B115" s="99"/>
      <c r="C115" s="23"/>
      <c r="D115" s="23"/>
      <c r="E115" s="65" t="s">
        <v>12</v>
      </c>
      <c r="F115" s="46">
        <f>F88</f>
        <v>14.7</v>
      </c>
      <c r="G115" s="193" t="s">
        <v>84</v>
      </c>
      <c r="H115" s="23"/>
      <c r="I115" s="283"/>
      <c r="J115" s="277" t="s">
        <v>503</v>
      </c>
      <c r="K115" s="145">
        <f>Equations!F20</f>
        <v>95</v>
      </c>
      <c r="L115" s="284" t="s">
        <v>25</v>
      </c>
      <c r="M115" s="9"/>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116"/>
    </row>
    <row r="116" spans="1:40" ht="15" customHeight="1" x14ac:dyDescent="0.2">
      <c r="A116" s="19"/>
      <c r="B116" s="99"/>
      <c r="C116" s="23"/>
      <c r="D116" s="23"/>
      <c r="E116" s="65" t="s">
        <v>13</v>
      </c>
      <c r="F116" s="46">
        <f>F89</f>
        <v>178</v>
      </c>
      <c r="G116" s="193" t="s">
        <v>84</v>
      </c>
      <c r="H116" s="23"/>
      <c r="I116" s="283"/>
      <c r="J116" s="276" t="s">
        <v>222</v>
      </c>
      <c r="K116" s="147">
        <f>IF(F55="YES",Equations!F57,Start_up!M2)</f>
        <v>300</v>
      </c>
      <c r="L116" s="284" t="s">
        <v>8</v>
      </c>
      <c r="M116" s="9"/>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116"/>
    </row>
    <row r="117" spans="1:40" ht="15" customHeight="1" x14ac:dyDescent="0.2">
      <c r="A117" s="19"/>
      <c r="B117" s="99"/>
      <c r="C117" s="23"/>
      <c r="D117" s="23"/>
      <c r="E117" s="65" t="s">
        <v>14</v>
      </c>
      <c r="F117" s="47">
        <f>IF(F78="Option A","N/A",F90)</f>
        <v>7.87</v>
      </c>
      <c r="G117" s="193" t="s">
        <v>84</v>
      </c>
      <c r="H117" s="23"/>
      <c r="I117" s="283"/>
      <c r="J117" s="276" t="s">
        <v>223</v>
      </c>
      <c r="K117" s="145">
        <f>TINSERT</f>
        <v>8.125</v>
      </c>
      <c r="L117" s="284" t="s">
        <v>8</v>
      </c>
      <c r="M117" s="9"/>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116"/>
    </row>
    <row r="118" spans="1:40" ht="15" customHeight="1" x14ac:dyDescent="0.2">
      <c r="A118" s="19"/>
      <c r="B118" s="99"/>
      <c r="C118" s="23"/>
      <c r="D118" s="23"/>
      <c r="E118" s="66" t="s">
        <v>455</v>
      </c>
      <c r="F118" s="48">
        <f>F105</f>
        <v>150</v>
      </c>
      <c r="G118" s="193" t="s">
        <v>84</v>
      </c>
      <c r="H118" s="23"/>
      <c r="I118" s="283"/>
      <c r="J118" s="276" t="s">
        <v>224</v>
      </c>
      <c r="K118" s="147">
        <f>IF(F55="YES", F74,F61)</f>
        <v>0.52</v>
      </c>
      <c r="L118" s="284" t="s">
        <v>8</v>
      </c>
      <c r="M118" s="9"/>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116"/>
    </row>
    <row r="119" spans="1:40" ht="15" customHeight="1" x14ac:dyDescent="0.2">
      <c r="A119" s="19"/>
      <c r="B119" s="99"/>
      <c r="C119" s="23"/>
      <c r="D119" s="23"/>
      <c r="E119" s="66" t="s">
        <v>456</v>
      </c>
      <c r="F119" s="48">
        <f>F106</f>
        <v>9.76</v>
      </c>
      <c r="G119" s="193" t="s">
        <v>84</v>
      </c>
      <c r="H119" s="23"/>
      <c r="I119" s="283"/>
      <c r="J119" s="276" t="s">
        <v>225</v>
      </c>
      <c r="K119" s="141">
        <f>F77</f>
        <v>82.877142857142871</v>
      </c>
      <c r="L119" s="284" t="s">
        <v>8</v>
      </c>
      <c r="M119" s="9"/>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116"/>
    </row>
    <row r="120" spans="1:40" ht="15" customHeight="1" x14ac:dyDescent="0.2">
      <c r="A120" s="19"/>
      <c r="B120" s="99"/>
      <c r="C120" s="23"/>
      <c r="D120" s="23"/>
      <c r="E120" s="66" t="s">
        <v>457</v>
      </c>
      <c r="F120" s="50">
        <f>IF(F55="YES", F68, "DNP")</f>
        <v>100</v>
      </c>
      <c r="G120" s="194" t="s">
        <v>120</v>
      </c>
      <c r="H120" s="23"/>
      <c r="I120" s="283"/>
      <c r="J120" s="278" t="s">
        <v>226</v>
      </c>
      <c r="K120" s="141">
        <f>E93</f>
        <v>40.221496598639455</v>
      </c>
      <c r="L120" s="284" t="s">
        <v>86</v>
      </c>
      <c r="M120" s="9"/>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116"/>
    </row>
    <row r="121" spans="1:40" ht="15" customHeight="1" x14ac:dyDescent="0.2">
      <c r="A121" s="19"/>
      <c r="B121" s="99"/>
      <c r="C121" s="23"/>
      <c r="D121" s="23"/>
      <c r="E121" s="65" t="s">
        <v>55</v>
      </c>
      <c r="F121" s="49">
        <v>0.01</v>
      </c>
      <c r="G121" s="193" t="s">
        <v>83</v>
      </c>
      <c r="H121" s="23"/>
      <c r="I121" s="283"/>
      <c r="J121" s="278" t="s">
        <v>228</v>
      </c>
      <c r="K121" s="141">
        <f>E94</f>
        <v>36.221496598639462</v>
      </c>
      <c r="L121" s="284" t="s">
        <v>86</v>
      </c>
      <c r="M121" s="9"/>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116"/>
    </row>
    <row r="122" spans="1:40" ht="15" customHeight="1" x14ac:dyDescent="0.2">
      <c r="A122" s="19"/>
      <c r="B122" s="99"/>
      <c r="C122" s="23"/>
      <c r="D122" s="23"/>
      <c r="E122" s="66" t="s">
        <v>216</v>
      </c>
      <c r="F122" s="50">
        <v>1</v>
      </c>
      <c r="G122" s="193" t="s">
        <v>83</v>
      </c>
      <c r="H122" s="23"/>
      <c r="I122" s="283"/>
      <c r="J122" s="278" t="s">
        <v>229</v>
      </c>
      <c r="K122" s="141">
        <f>E95</f>
        <v>58.099135959339264</v>
      </c>
      <c r="L122" s="284" t="s">
        <v>86</v>
      </c>
      <c r="M122" s="9"/>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116"/>
    </row>
    <row r="123" spans="1:40" ht="15" customHeight="1" x14ac:dyDescent="0.2">
      <c r="A123" s="19"/>
      <c r="B123" s="99"/>
      <c r="C123" s="23"/>
      <c r="D123" s="23"/>
      <c r="E123" s="66" t="s">
        <v>217</v>
      </c>
      <c r="F123" s="50">
        <v>1</v>
      </c>
      <c r="G123" s="193" t="s">
        <v>83</v>
      </c>
      <c r="H123" s="23"/>
      <c r="I123" s="283"/>
      <c r="J123" s="278" t="s">
        <v>227</v>
      </c>
      <c r="K123" s="141">
        <f>E96</f>
        <v>54.361135959339265</v>
      </c>
      <c r="L123" s="284" t="s">
        <v>86</v>
      </c>
      <c r="M123" s="9"/>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116"/>
    </row>
    <row r="124" spans="1:40" ht="15" customHeight="1" x14ac:dyDescent="0.2">
      <c r="A124" s="19"/>
      <c r="B124" s="99"/>
      <c r="C124" s="23"/>
      <c r="D124" s="23"/>
      <c r="E124" s="66" t="s">
        <v>237</v>
      </c>
      <c r="F124" s="46" t="str">
        <f>IF(F20="26 mV","VDD","GND")</f>
        <v>GND</v>
      </c>
      <c r="G124" s="194"/>
      <c r="H124" s="23"/>
      <c r="I124" s="283"/>
      <c r="J124" s="278" t="s">
        <v>231</v>
      </c>
      <c r="K124" s="21">
        <f>Equations!F104</f>
        <v>40.267377049180332</v>
      </c>
      <c r="L124" s="284" t="s">
        <v>86</v>
      </c>
      <c r="M124" s="9"/>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116"/>
    </row>
    <row r="125" spans="1:40" ht="15" customHeight="1" thickBot="1" x14ac:dyDescent="0.25">
      <c r="A125" s="19"/>
      <c r="B125" s="99"/>
      <c r="C125" s="23"/>
      <c r="D125" s="23"/>
      <c r="E125" s="66" t="s">
        <v>236</v>
      </c>
      <c r="F125" s="50" t="str">
        <f>IF(F34="1.9 x Current Limit","VDD","GND")</f>
        <v>VDD</v>
      </c>
      <c r="G125" s="194"/>
      <c r="H125" s="23"/>
      <c r="I125" s="285"/>
      <c r="J125" s="286" t="s">
        <v>230</v>
      </c>
      <c r="K125" s="139">
        <f>Equations!F107/1000</f>
        <v>3</v>
      </c>
      <c r="L125" s="287" t="s">
        <v>86</v>
      </c>
      <c r="M125" s="9"/>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116"/>
    </row>
    <row r="126" spans="1:40" ht="15" customHeight="1" x14ac:dyDescent="0.2">
      <c r="A126" s="19"/>
      <c r="B126" s="99"/>
      <c r="C126" s="23"/>
      <c r="D126" s="23"/>
      <c r="E126" s="66" t="s">
        <v>240</v>
      </c>
      <c r="F126" s="130" t="str">
        <f>IF(F33="Retry","GND","VDD")</f>
        <v>VDD</v>
      </c>
      <c r="G126" s="194"/>
      <c r="H126" s="23"/>
      <c r="I126" s="13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138"/>
    </row>
    <row r="127" spans="1:40" ht="15" customHeight="1" x14ac:dyDescent="0.2">
      <c r="A127" s="19"/>
      <c r="B127" s="99"/>
      <c r="C127" s="23"/>
      <c r="D127" s="23"/>
      <c r="E127" s="66" t="s">
        <v>495</v>
      </c>
      <c r="F127" s="130" t="s">
        <v>496</v>
      </c>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116"/>
    </row>
    <row r="128" spans="1:40" ht="15" customHeight="1" x14ac:dyDescent="0.2">
      <c r="A128" s="19"/>
      <c r="B128" s="99"/>
      <c r="C128" s="23"/>
      <c r="D128" s="23"/>
      <c r="E128" s="66" t="s">
        <v>463</v>
      </c>
      <c r="F128" s="130" t="str">
        <f>IF(F55="YES","1N4148W-7-F","DNP")</f>
        <v>1N4148W-7-F</v>
      </c>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116"/>
      <c r="AN128" s="33"/>
    </row>
    <row r="129" spans="1:40" ht="15" customHeight="1" x14ac:dyDescent="0.2">
      <c r="A129" s="19"/>
      <c r="B129" s="99"/>
      <c r="C129" s="23"/>
      <c r="D129" s="23"/>
      <c r="E129" s="66" t="s">
        <v>498</v>
      </c>
      <c r="F129" s="130" t="str">
        <f>F35</f>
        <v>csd19536ktt</v>
      </c>
      <c r="G129" s="262"/>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116"/>
      <c r="AN129" s="33"/>
    </row>
    <row r="130" spans="1:40" s="272" customFormat="1" ht="15" customHeight="1" x14ac:dyDescent="0.2">
      <c r="A130" s="19"/>
      <c r="B130" s="99"/>
      <c r="C130" s="23"/>
      <c r="D130" s="23"/>
      <c r="E130" s="66" t="s">
        <v>499</v>
      </c>
      <c r="F130" s="130" t="s">
        <v>500</v>
      </c>
      <c r="G130" s="274"/>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116"/>
      <c r="AN130" s="273"/>
    </row>
    <row r="131" spans="1:40" ht="15" customHeight="1" x14ac:dyDescent="0.2">
      <c r="A131" s="19"/>
      <c r="B131" s="99"/>
      <c r="C131" s="23"/>
      <c r="D131" s="23"/>
      <c r="E131" s="66" t="s">
        <v>464</v>
      </c>
      <c r="F131" s="130" t="str">
        <f>IF(F55="YES","MMBT5401LT1G","DNP")</f>
        <v>MMBT5401LT1G</v>
      </c>
      <c r="G131" s="262"/>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116"/>
      <c r="AN131" s="33"/>
    </row>
    <row r="132" spans="1:40" ht="15" customHeight="1" x14ac:dyDescent="0.2">
      <c r="A132" s="19"/>
      <c r="B132" s="99"/>
      <c r="C132" s="23"/>
      <c r="D132" s="23"/>
      <c r="E132" s="66" t="s">
        <v>494</v>
      </c>
      <c r="F132" s="130" t="s">
        <v>502</v>
      </c>
      <c r="G132" s="194"/>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111"/>
      <c r="AN132" s="33"/>
    </row>
    <row r="133" spans="1:40" s="272" customFormat="1" ht="15" customHeight="1" x14ac:dyDescent="0.2">
      <c r="A133" s="19"/>
      <c r="B133" s="99"/>
      <c r="C133" s="23"/>
      <c r="D133" s="23"/>
      <c r="E133" s="66"/>
      <c r="F133" s="149"/>
      <c r="G133" s="194"/>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111"/>
      <c r="AN133" s="273"/>
    </row>
    <row r="134" spans="1:40" ht="15.75" x14ac:dyDescent="0.3">
      <c r="A134" s="19"/>
      <c r="B134" s="275" t="s">
        <v>18</v>
      </c>
      <c r="C134" s="35" t="s">
        <v>90</v>
      </c>
      <c r="D134" s="22"/>
      <c r="E134" s="35"/>
      <c r="F134" s="135"/>
      <c r="G134" s="195"/>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111"/>
      <c r="AN134" s="33"/>
    </row>
    <row r="135" spans="1:40" x14ac:dyDescent="0.2">
      <c r="A135" s="19"/>
      <c r="B135" s="99"/>
      <c r="C135" s="35" t="s">
        <v>110</v>
      </c>
      <c r="D135" s="23"/>
      <c r="E135" s="35"/>
      <c r="F135" s="23"/>
      <c r="G135" s="195"/>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111"/>
    </row>
    <row r="136" spans="1:40" x14ac:dyDescent="0.2">
      <c r="A136" s="19"/>
      <c r="B136" s="99"/>
      <c r="C136" s="35" t="s">
        <v>267</v>
      </c>
      <c r="D136" s="23"/>
      <c r="E136" s="35"/>
      <c r="F136" s="23"/>
      <c r="G136" s="195"/>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111"/>
    </row>
    <row r="137" spans="1:40" ht="13.5" thickBot="1" x14ac:dyDescent="0.25">
      <c r="A137" s="19"/>
      <c r="B137" s="100"/>
      <c r="C137" s="101"/>
      <c r="D137" s="101"/>
      <c r="E137" s="136"/>
      <c r="F137" s="101"/>
      <c r="G137" s="196"/>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15"/>
    </row>
    <row r="138" spans="1:40" x14ac:dyDescent="0.2">
      <c r="A138" s="19"/>
      <c r="B138" s="19"/>
      <c r="C138" s="19"/>
      <c r="D138" s="19"/>
      <c r="E138" s="19"/>
      <c r="F138" s="32"/>
      <c r="G138" s="20"/>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row>
    <row r="139" spans="1:40" ht="15" x14ac:dyDescent="0.25">
      <c r="A139" s="19"/>
      <c r="B139" s="43"/>
      <c r="C139" s="19"/>
      <c r="D139" s="19"/>
      <c r="E139" s="19"/>
      <c r="F139" s="36"/>
      <c r="G139" s="197"/>
      <c r="H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row>
    <row r="140" spans="1:40" x14ac:dyDescent="0.2">
      <c r="A140" s="19"/>
      <c r="B140" s="19"/>
      <c r="C140" s="19"/>
      <c r="D140" s="19"/>
      <c r="E140" s="19"/>
      <c r="F140" s="36"/>
      <c r="G140" s="197"/>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row>
    <row r="141" spans="1:40" x14ac:dyDescent="0.2">
      <c r="A141" s="19"/>
      <c r="B141" s="19"/>
      <c r="C141" s="19"/>
      <c r="D141" s="19"/>
      <c r="E141" s="19"/>
      <c r="F141" s="36"/>
      <c r="G141" s="197"/>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row>
    <row r="142" spans="1:40" x14ac:dyDescent="0.2">
      <c r="A142" s="19"/>
      <c r="B142" s="19"/>
      <c r="C142" s="19"/>
      <c r="D142" s="19"/>
      <c r="E142" s="19"/>
      <c r="F142" s="36"/>
      <c r="G142" s="197"/>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row>
    <row r="143" spans="1:40" x14ac:dyDescent="0.2">
      <c r="A143" s="19"/>
      <c r="B143" s="19"/>
      <c r="C143" s="19"/>
      <c r="D143" s="19"/>
      <c r="E143" s="19"/>
      <c r="F143" s="36"/>
      <c r="G143" s="197"/>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0" x14ac:dyDescent="0.2">
      <c r="A144" s="19"/>
      <c r="B144" s="19"/>
      <c r="C144" s="19"/>
      <c r="D144" s="19"/>
      <c r="E144" s="19"/>
      <c r="F144" s="36"/>
      <c r="G144" s="197"/>
      <c r="H144" s="36"/>
      <c r="I144" s="36"/>
      <c r="J144" s="36"/>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row>
    <row r="145" spans="1:39" x14ac:dyDescent="0.2">
      <c r="A145" s="19"/>
      <c r="B145" s="19"/>
      <c r="C145" s="19"/>
      <c r="D145" s="19"/>
      <c r="E145" s="19"/>
      <c r="F145" s="36"/>
      <c r="G145" s="197"/>
      <c r="H145" s="36"/>
      <c r="I145" s="36"/>
      <c r="J145" s="36"/>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
      <c r="A146" s="19"/>
      <c r="B146" s="19"/>
      <c r="C146" s="19"/>
      <c r="D146" s="19"/>
      <c r="E146" s="19"/>
      <c r="F146" s="36"/>
      <c r="G146" s="197"/>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
      <c r="A147" s="19"/>
      <c r="B147" s="19"/>
      <c r="C147" s="19"/>
      <c r="D147" s="19"/>
      <c r="E147" s="19"/>
      <c r="F147" s="19"/>
      <c r="G147" s="20"/>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x14ac:dyDescent="0.2">
      <c r="A148" s="19"/>
      <c r="B148" s="19"/>
      <c r="C148" s="19"/>
      <c r="D148" s="19"/>
      <c r="E148" s="19"/>
      <c r="F148" s="36"/>
      <c r="G148" s="197"/>
      <c r="H148" s="36"/>
      <c r="I148" s="36"/>
      <c r="J148" s="36"/>
      <c r="K148" s="36"/>
      <c r="L148" s="36"/>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
      <c r="A149" s="19"/>
      <c r="B149" s="19"/>
      <c r="C149" s="19"/>
      <c r="D149" s="19"/>
      <c r="E149" s="19"/>
      <c r="F149" s="36"/>
      <c r="G149" s="197"/>
      <c r="H149" s="36"/>
      <c r="I149" s="36"/>
      <c r="J149" s="36"/>
      <c r="K149" s="36"/>
      <c r="L149" s="36"/>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
      <c r="A150" s="19"/>
      <c r="B150" s="19"/>
      <c r="C150" s="19"/>
      <c r="D150" s="19"/>
      <c r="E150" s="19"/>
      <c r="F150" s="36"/>
      <c r="G150" s="197"/>
      <c r="H150" s="36"/>
      <c r="I150" s="36"/>
      <c r="J150" s="36"/>
      <c r="K150" s="36"/>
      <c r="L150" s="36"/>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
      <c r="A151" s="19"/>
      <c r="B151" s="19"/>
      <c r="C151" s="19"/>
      <c r="D151" s="19"/>
      <c r="E151" s="19"/>
      <c r="F151" s="36"/>
      <c r="G151" s="197"/>
      <c r="H151" s="36"/>
      <c r="I151" s="36"/>
      <c r="J151" s="36"/>
      <c r="K151" s="36"/>
      <c r="L151" s="36"/>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
      <c r="A152" s="19"/>
      <c r="B152" s="19"/>
      <c r="C152" s="19"/>
      <c r="D152" s="19"/>
      <c r="E152" s="19"/>
      <c r="F152" s="36"/>
      <c r="G152" s="197"/>
      <c r="H152" s="36"/>
      <c r="I152" s="36"/>
      <c r="J152" s="36"/>
      <c r="K152" s="36"/>
      <c r="L152" s="36"/>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
      <c r="A153" s="19"/>
      <c r="B153" s="19"/>
      <c r="C153" s="19"/>
      <c r="D153" s="19"/>
      <c r="E153" s="19"/>
      <c r="F153" s="36"/>
      <c r="G153" s="197"/>
      <c r="H153" s="36"/>
      <c r="I153" s="36"/>
      <c r="J153" s="36"/>
      <c r="K153" s="36"/>
      <c r="L153" s="36"/>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2">
      <c r="A154" s="19"/>
      <c r="B154" s="19"/>
      <c r="C154" s="19"/>
      <c r="D154" s="19"/>
      <c r="E154" s="19"/>
      <c r="F154" s="19"/>
      <c r="G154" s="20"/>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
      <c r="A155" s="19"/>
      <c r="B155" s="19"/>
      <c r="C155" s="19"/>
      <c r="D155" s="19"/>
      <c r="E155" s="19"/>
      <c r="F155" s="19"/>
      <c r="G155" s="20"/>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
      <c r="A156" s="19"/>
      <c r="B156" s="19"/>
      <c r="C156" s="19"/>
      <c r="D156" s="19"/>
      <c r="E156" s="19"/>
      <c r="F156" s="19"/>
      <c r="G156" s="20"/>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
      <c r="A157" s="19"/>
      <c r="B157" s="19"/>
      <c r="C157" s="19"/>
      <c r="D157" s="19"/>
      <c r="E157" s="19"/>
      <c r="F157" s="19"/>
      <c r="G157" s="20"/>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
      <c r="A158" s="19"/>
      <c r="B158" s="19"/>
      <c r="C158" s="19"/>
      <c r="D158" s="19"/>
      <c r="E158" s="19"/>
      <c r="F158" s="19"/>
      <c r="G158" s="20"/>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ht="15" x14ac:dyDescent="0.25">
      <c r="A165" s="19"/>
      <c r="B165" s="44"/>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x14ac:dyDescent="0.2">
      <c r="A168" s="19"/>
      <c r="B168" s="19"/>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
      <c r="A170" s="19"/>
      <c r="B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
      <c r="A173" s="19"/>
      <c r="B173" s="19"/>
      <c r="C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
      <c r="A189" s="19"/>
      <c r="B189" s="19"/>
      <c r="C189" s="19"/>
      <c r="D189" s="19"/>
      <c r="E189" s="19"/>
      <c r="F189" s="19"/>
      <c r="G189" s="20"/>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x14ac:dyDescent="0.2">
      <c r="A190" s="19"/>
      <c r="B190" s="19"/>
      <c r="C190" s="19"/>
      <c r="D190" s="19"/>
      <c r="E190" s="19"/>
      <c r="F190" s="19"/>
      <c r="G190" s="20"/>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x14ac:dyDescent="0.2">
      <c r="A191" s="19"/>
      <c r="B191" s="19"/>
      <c r="C191" s="19"/>
      <c r="D191" s="19"/>
      <c r="E191" s="19"/>
      <c r="F191" s="19"/>
      <c r="G191" s="20"/>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x14ac:dyDescent="0.2">
      <c r="A192" s="19"/>
      <c r="B192" s="19"/>
      <c r="C192" s="19"/>
      <c r="D192" s="19"/>
      <c r="E192" s="19"/>
      <c r="F192" s="19"/>
      <c r="G192" s="20"/>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row r="193" spans="1:39" x14ac:dyDescent="0.2">
      <c r="A193" s="19"/>
      <c r="B193" s="19"/>
      <c r="C193" s="19"/>
      <c r="D193" s="19"/>
      <c r="E193" s="19"/>
      <c r="F193" s="19"/>
      <c r="G193" s="20"/>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row>
    <row r="194" spans="1:39" x14ac:dyDescent="0.2">
      <c r="A194" s="19"/>
      <c r="B194" s="19"/>
      <c r="C194" s="19"/>
      <c r="D194" s="19"/>
      <c r="E194" s="19"/>
      <c r="F194" s="19"/>
      <c r="G194" s="20"/>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row>
    <row r="195" spans="1:39" x14ac:dyDescent="0.2">
      <c r="A195" s="19"/>
      <c r="B195" s="19"/>
      <c r="C195" s="19"/>
      <c r="D195" s="19"/>
      <c r="E195" s="19"/>
      <c r="F195" s="19"/>
      <c r="G195" s="20"/>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row>
    <row r="196" spans="1:39" x14ac:dyDescent="0.2">
      <c r="A196" s="19"/>
      <c r="B196" s="19"/>
      <c r="C196" s="19"/>
      <c r="D196" s="19"/>
      <c r="E196" s="19"/>
      <c r="F196" s="19"/>
      <c r="G196" s="20"/>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row>
    <row r="197" spans="1:39" x14ac:dyDescent="0.2">
      <c r="A197" s="19"/>
      <c r="B197" s="19"/>
      <c r="C197" s="19"/>
      <c r="D197" s="19"/>
      <c r="E197" s="19"/>
      <c r="F197" s="19"/>
      <c r="G197" s="20"/>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row>
    <row r="198" spans="1:39" x14ac:dyDescent="0.2">
      <c r="A198" s="19"/>
      <c r="B198" s="19"/>
      <c r="C198" s="19"/>
      <c r="D198" s="19"/>
      <c r="E198" s="19"/>
      <c r="F198" s="19"/>
      <c r="G198" s="20"/>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row>
    <row r="199" spans="1:39" x14ac:dyDescent="0.2">
      <c r="A199" s="19"/>
      <c r="B199" s="19"/>
      <c r="C199" s="19"/>
      <c r="D199" s="19"/>
      <c r="E199" s="19"/>
      <c r="F199" s="19"/>
      <c r="G199" s="20"/>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row>
    <row r="200" spans="1:39" x14ac:dyDescent="0.2">
      <c r="A200" s="19"/>
      <c r="B200" s="19"/>
      <c r="C200" s="19"/>
      <c r="D200" s="19"/>
      <c r="E200" s="19"/>
      <c r="F200" s="19"/>
      <c r="G200" s="20"/>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row>
    <row r="201" spans="1:39" x14ac:dyDescent="0.2">
      <c r="A201" s="19"/>
      <c r="B201" s="19"/>
      <c r="C201" s="19"/>
      <c r="D201" s="19"/>
      <c r="E201" s="19"/>
      <c r="F201" s="19"/>
      <c r="G201" s="20"/>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row>
    <row r="202" spans="1:39" x14ac:dyDescent="0.2">
      <c r="A202" s="19"/>
      <c r="B202" s="19"/>
      <c r="C202" s="19"/>
      <c r="D202" s="19"/>
      <c r="E202" s="19"/>
      <c r="F202" s="19"/>
      <c r="G202" s="20"/>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row>
    <row r="203" spans="1:39" x14ac:dyDescent="0.2">
      <c r="A203" s="19"/>
      <c r="B203" s="19"/>
      <c r="C203" s="19"/>
      <c r="D203" s="19"/>
      <c r="E203" s="19"/>
      <c r="F203" s="19"/>
      <c r="G203" s="20"/>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row>
    <row r="204" spans="1:39" x14ac:dyDescent="0.2">
      <c r="A204" s="19"/>
      <c r="B204" s="19"/>
      <c r="C204" s="19"/>
      <c r="D204" s="19"/>
      <c r="E204" s="19"/>
      <c r="F204" s="19"/>
      <c r="G204" s="20"/>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row>
    <row r="205" spans="1:39" x14ac:dyDescent="0.2">
      <c r="A205" s="19"/>
      <c r="B205" s="19"/>
      <c r="C205" s="19"/>
      <c r="D205" s="19"/>
      <c r="E205" s="19"/>
      <c r="F205" s="19"/>
      <c r="G205" s="20"/>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row>
    <row r="206" spans="1:39" x14ac:dyDescent="0.2">
      <c r="A206" s="19"/>
      <c r="B206" s="19"/>
      <c r="C206" s="19"/>
      <c r="D206" s="19"/>
      <c r="E206" s="19"/>
      <c r="F206" s="19"/>
      <c r="G206" s="20"/>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row>
    <row r="207" spans="1:39" x14ac:dyDescent="0.2">
      <c r="A207" s="19"/>
      <c r="B207" s="19"/>
      <c r="C207" s="19"/>
      <c r="D207" s="19"/>
      <c r="E207" s="19"/>
      <c r="F207" s="19"/>
      <c r="G207" s="20"/>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row>
    <row r="208" spans="1:39" x14ac:dyDescent="0.2">
      <c r="A208" s="19"/>
      <c r="B208" s="19"/>
      <c r="C208" s="19"/>
      <c r="D208" s="19"/>
      <c r="E208" s="19"/>
      <c r="F208" s="19"/>
      <c r="G208" s="20"/>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row>
    <row r="209" spans="1:39" x14ac:dyDescent="0.2">
      <c r="A209" s="19"/>
      <c r="B209" s="19"/>
      <c r="C209" s="19"/>
      <c r="D209" s="19"/>
      <c r="E209" s="19"/>
      <c r="F209" s="19"/>
      <c r="G209" s="20"/>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row>
  </sheetData>
  <sheetProtection password="E288" sheet="1" objects="1" scenarios="1" selectLockedCells="1"/>
  <mergeCells count="6">
    <mergeCell ref="L2:M2"/>
    <mergeCell ref="A1:M1"/>
    <mergeCell ref="D11:E12"/>
    <mergeCell ref="C97:G99"/>
    <mergeCell ref="B68:C72"/>
    <mergeCell ref="B40:B46"/>
  </mergeCells>
  <phoneticPr fontId="3" type="noConversion"/>
  <conditionalFormatting sqref="F80">
    <cfRule type="cellIs" dxfId="29" priority="59" stopIfTrue="1" operator="greaterThanOrEqual">
      <formula>F79</formula>
    </cfRule>
  </conditionalFormatting>
  <conditionalFormatting sqref="G82">
    <cfRule type="expression" dxfId="28" priority="61" stopIfTrue="1">
      <formula>F78="Option A"</formula>
    </cfRule>
  </conditionalFormatting>
  <conditionalFormatting sqref="E82">
    <cfRule type="expression" dxfId="27" priority="62" stopIfTrue="1">
      <formula>F78="Option A"</formula>
    </cfRule>
  </conditionalFormatting>
  <conditionalFormatting sqref="F86">
    <cfRule type="expression" dxfId="26" priority="63" stopIfTrue="1">
      <formula>F78="Option A"</formula>
    </cfRule>
  </conditionalFormatting>
  <conditionalFormatting sqref="E86">
    <cfRule type="expression" dxfId="25" priority="65" stopIfTrue="1">
      <formula>F78="Option A"</formula>
    </cfRule>
  </conditionalFormatting>
  <conditionalFormatting sqref="F23">
    <cfRule type="cellIs" dxfId="24" priority="66" stopIfTrue="1" operator="greaterThan">
      <formula>200</formula>
    </cfRule>
  </conditionalFormatting>
  <conditionalFormatting sqref="D93:F96">
    <cfRule type="cellIs" dxfId="23" priority="68" stopIfTrue="1" operator="notBetween">
      <formula>10</formula>
      <formula>80</formula>
    </cfRule>
  </conditionalFormatting>
  <conditionalFormatting sqref="G86">
    <cfRule type="expression" dxfId="22" priority="56">
      <formula>F78="Option A"</formula>
    </cfRule>
  </conditionalFormatting>
  <conditionalFormatting sqref="G90">
    <cfRule type="expression" dxfId="21" priority="55">
      <formula>F78="Option A"</formula>
    </cfRule>
  </conditionalFormatting>
  <conditionalFormatting sqref="E90">
    <cfRule type="expression" dxfId="20" priority="53">
      <formula>F78="Option A"</formula>
    </cfRule>
  </conditionalFormatting>
  <conditionalFormatting sqref="F46">
    <cfRule type="colorScale" priority="30">
      <colorScale>
        <cfvo type="min"/>
        <cfvo type="formula" val="$AN$39*0.8"/>
        <cfvo type="num" val="$AN$39"/>
        <color theme="0"/>
        <color rgb="FFFFC000"/>
        <color rgb="FFFF0000"/>
      </colorScale>
    </cfRule>
  </conditionalFormatting>
  <conditionalFormatting sqref="F24:F25">
    <cfRule type="cellIs" dxfId="19" priority="27" operator="equal">
      <formula>"NA"</formula>
    </cfRule>
    <cfRule type="cellIs" dxfId="18" priority="33" operator="equal">
      <formula>"""NA"""</formula>
    </cfRule>
  </conditionalFormatting>
  <conditionalFormatting sqref="F57">
    <cfRule type="cellIs" dxfId="17" priority="72" operator="lessThan">
      <formula>0.25</formula>
    </cfRule>
  </conditionalFormatting>
  <conditionalFormatting sqref="F60">
    <cfRule type="cellIs" dxfId="16" priority="23" operator="lessThan">
      <formula>$F$59</formula>
    </cfRule>
  </conditionalFormatting>
  <conditionalFormatting sqref="F62">
    <cfRule type="cellIs" dxfId="15" priority="20" operator="lessThan">
      <formula>1.1</formula>
    </cfRule>
    <cfRule type="cellIs" dxfId="14" priority="21" operator="between">
      <formula>1.1</formula>
      <formula>1.3</formula>
    </cfRule>
  </conditionalFormatting>
  <conditionalFormatting sqref="E55:F55">
    <cfRule type="expression" dxfId="13" priority="70">
      <formula>#REF!="Yes"</formula>
    </cfRule>
  </conditionalFormatting>
  <conditionalFormatting sqref="G66 G68:G73">
    <cfRule type="expression" dxfId="12" priority="18">
      <formula>#REF!="Yes"</formula>
    </cfRule>
  </conditionalFormatting>
  <conditionalFormatting sqref="E56:G62">
    <cfRule type="expression" dxfId="11" priority="16" stopIfTrue="1">
      <formula>$F$55="Yes"</formula>
    </cfRule>
  </conditionalFormatting>
  <conditionalFormatting sqref="D64:G75 E63:G63 B68">
    <cfRule type="expression" dxfId="10" priority="2" stopIfTrue="1">
      <formula>$F$55="NO"</formula>
    </cfRule>
  </conditionalFormatting>
  <conditionalFormatting sqref="F66 F69">
    <cfRule type="cellIs" dxfId="9" priority="11" operator="greaterThanOrEqual">
      <formula>$F$64</formula>
    </cfRule>
  </conditionalFormatting>
  <conditionalFormatting sqref="F70 F75">
    <cfRule type="cellIs" dxfId="8" priority="13" operator="lessThan">
      <formula>1.1</formula>
    </cfRule>
  </conditionalFormatting>
  <conditionalFormatting sqref="F51">
    <cfRule type="cellIs" dxfId="7" priority="9" operator="lessThan">
      <formula>$F$47</formula>
    </cfRule>
  </conditionalFormatting>
  <conditionalFormatting sqref="F63">
    <cfRule type="expression" dxfId="6" priority="8">
      <formula>#REF!="Yes"</formula>
    </cfRule>
  </conditionalFormatting>
  <conditionalFormatting sqref="E24:G28">
    <cfRule type="expression" dxfId="5" priority="5" stopIfTrue="1">
      <formula>IF($F$22="No", "TRUE", "FALSE")</formula>
    </cfRule>
  </conditionalFormatting>
  <conditionalFormatting sqref="F29:F31">
    <cfRule type="cellIs" dxfId="4" priority="4" operator="lessThan">
      <formula>$F$17</formula>
    </cfRule>
  </conditionalFormatting>
  <conditionalFormatting sqref="F64:F65">
    <cfRule type="containsText" dxfId="3" priority="3" operator="containsText" text="NA">
      <formula>NOT(ISERROR(SEARCH("NA",F64)))</formula>
    </cfRule>
  </conditionalFormatting>
  <conditionalFormatting sqref="F70">
    <cfRule type="cellIs" dxfId="2" priority="12" operator="between">
      <formula>1.1</formula>
      <formula>1.499999</formula>
    </cfRule>
  </conditionalFormatting>
  <conditionalFormatting sqref="F75">
    <cfRule type="cellIs" dxfId="1" priority="10" operator="between">
      <formula>1.1</formula>
      <formula>1.299999</formula>
    </cfRule>
  </conditionalFormatting>
  <conditionalFormatting sqref="F48">
    <cfRule type="cellIs" dxfId="0" priority="1" operator="lessThan">
      <formula>$F$47</formula>
    </cfRule>
  </conditionalFormatting>
  <dataValidations xWindow="820" yWindow="376" count="18">
    <dataValidation type="decimal" allowBlank="1" showInputMessage="1" showErrorMessage="1" errorTitle="Lower UVLO Violation" error="The lower UVLO threshold MUST be at least 2.65V, and  less than the upper UVLO threshold. They cannot be equal." sqref="F80" xr:uid="{00000000-0002-0000-0100-000000000000}">
      <formula1>2.65</formula1>
      <formula2>F79</formula2>
    </dataValidation>
    <dataValidation type="decimal" allowBlank="1" showInputMessage="1" showErrorMessage="1" errorTitle="Upper OVLO Threshold Violation" error="The Upper OVLO Threshold must be greater than the upper UVLO threshold, and less than 80V." sqref="F81" xr:uid="{00000000-0002-0000-0100-000001000000}">
      <formula1>F79+0.01</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82" xr:uid="{00000000-0002-0000-0100-000002000000}">
      <formula1>F79+0.01</formula1>
      <formula2>F81</formula2>
    </dataValidation>
    <dataValidation type="decimal" allowBlank="1" showInputMessage="1" showErrorMessage="1" errorTitle="UVLO Threshold Violation" error="The upper UVLO threshold must be no less than 10V, and no greater than 80V." sqref="F79" xr:uid="{00000000-0002-0000-0100-000003000000}">
      <formula1>10</formula1>
      <formula2>80</formula2>
    </dataValidation>
    <dataValidation type="decimal" allowBlank="1" showInputMessage="1" showErrorMessage="1" errorTitle="Minimum System Voltage Violation" error="Input voltage should be between 10V and 80V." sqref="F15" xr:uid="{00000000-0002-0000-0100-000004000000}">
      <formula1>F14</formula1>
      <formula2>F16</formula2>
    </dataValidation>
    <dataValidation type="decimal" operator="greaterThanOrEqual" allowBlank="1" showInputMessage="1" showErrorMessage="1" errorTitle="Load Capacitance Violation" error="A minimum load capacitance of 10 uF is required to help prevent disruptions at turn off." sqref="F18" xr:uid="{00000000-0002-0000-0100-000005000000}">
      <formula1>10</formula1>
    </dataValidation>
    <dataValidation type="decimal" operator="greaterThan" allowBlank="1" showInputMessage="1" showErrorMessage="1" errorTitle="Maximum Load Current Violation" error="Maximum Load Current must be greater than 0." sqref="F17" xr:uid="{00000000-0002-0000-0100-000006000000}">
      <formula1>0</formula1>
    </dataValidation>
    <dataValidation type="list" allowBlank="1" showInputMessage="1" showErrorMessage="1" sqref="F78" xr:uid="{00000000-0002-0000-0100-000007000000}">
      <formula1>$AN$78:$AN$79</formula1>
    </dataValidation>
    <dataValidation type="list" allowBlank="1" showInputMessage="1" showErrorMessage="1" sqref="F34" xr:uid="{00000000-0002-0000-0100-000008000000}">
      <formula1>$AN$33:$AN$34</formula1>
    </dataValidation>
    <dataValidation type="list" allowBlank="1" showInputMessage="1" showErrorMessage="1" sqref="F33" xr:uid="{00000000-0002-0000-0100-000009000000}">
      <formula1>$AN$31:$AN$32</formula1>
    </dataValidation>
    <dataValidation type="whole" allowBlank="1" showInputMessage="1" showErrorMessage="1" sqref="F37" xr:uid="{00000000-0002-0000-0100-00000A000000}">
      <formula1>1</formula1>
      <formula2>6</formula2>
    </dataValidation>
    <dataValidation type="decimal" operator="greaterThan" allowBlank="1" showInputMessage="1" showErrorMessage="1" sqref="F26 F28"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24" xr:uid="{00000000-0002-0000-0100-00000D000000}">
      <formula1>"""NA"""</formula1>
    </dataValidation>
    <dataValidation type="list" allowBlank="1" showInputMessage="1" showErrorMessage="1" sqref="F55 F63" xr:uid="{00000000-0002-0000-0100-00000E000000}">
      <formula1>$AN$22:$AN$23</formula1>
    </dataValidation>
    <dataValidation type="list" allowBlank="1" showErrorMessage="1" sqref="F22" xr:uid="{00000000-0002-0000-0100-00000F000000}">
      <formula1>$AN$22:$AN$23</formula1>
    </dataValidation>
    <dataValidation type="list" allowBlank="1" showInputMessage="1" showErrorMessage="1" sqref="F20" xr:uid="{00000000-0002-0000-0100-000010000000}">
      <formula1>$AN$20:$AN$21</formula1>
    </dataValidation>
    <dataValidation type="list" allowBlank="1" showInputMessage="1" showErrorMessage="1" sqref="F53" xr:uid="{00000000-0002-0000-0100-000011000000}">
      <formula1>$AN$54:$AN$55</formula1>
    </dataValidation>
    <dataValidation type="decimal" allowBlank="1" showInputMessage="1" showErrorMessage="1" error="Must choose a value less than 10" sqref="F27" xr:uid="{00000000-0002-0000-0100-000012000000}">
      <formula1>0</formula1>
      <formula2>10</formula2>
    </dataValidation>
  </dataValidations>
  <hyperlinks>
    <hyperlink ref="B2" r:id="rId1" xr:uid="{00000000-0004-0000-0100-000000000000}"/>
  </hyperlinks>
  <pageMargins left="0.17" right="0.17" top="0.55000000000000004" bottom="0.92" header="0.48" footer="0.2"/>
  <pageSetup scale="62" fitToHeight="2" orientation="portrait" r:id="rId2"/>
  <headerFooter alignWithMargins="0"/>
  <drawing r:id="rId3"/>
  <legacyDrawing r:id="rId4"/>
  <extLst>
    <ext xmlns:x14="http://schemas.microsoft.com/office/spreadsheetml/2009/9/main" uri="{CCE6A557-97BC-4b89-ADB6-D9C93CAAB3DF}">
      <x14:dataValidations xmlns:xm="http://schemas.microsoft.com/office/excel/2006/main" xWindow="820" yWindow="376" count="4">
        <x14:dataValidation type="decimal" allowBlank="1" showInputMessage="1" showErrorMessage="1" xr:uid="{00000000-0002-0000-0100-000013000000}">
          <x14:formula1>
            <xm:f>0</xm:f>
          </x14:formula1>
          <x14:formula2>
            <xm:f>Equations!F82</xm:f>
          </x14:formula2>
          <xm:sqref>F52</xm:sqref>
        </x14:dataValidation>
        <x14:dataValidation type="decimal" operator="lessThanOrEqual" allowBlank="1" showInputMessage="1" showErrorMessage="1" errorTitle="Maximum System Voltage Violation" error="The maximum system voltage must be no greater than 80V." xr:uid="{00000000-0002-0000-0100-000014000000}">
          <x14:formula1>
            <xm:f>'Device Parameters'!E5</xm:f>
          </x14:formula1>
          <xm:sqref>F16</xm:sqref>
        </x14:dataValidation>
        <x14:dataValidation type="decimal" allowBlank="1" showInputMessage="1" showErrorMessage="1" errorTitle="Ambient Temperature Violation" error="The Ambient Temperature must be between -40C and 125C" xr:uid="{00000000-0002-0000-0100-000015000000}">
          <x14:formula1>
            <xm:f>'Device Parameters'!C4</xm:f>
          </x14:formula1>
          <x14:formula2>
            <xm:f>'Device Parameters'!E4</xm:f>
          </x14:formula2>
          <xm:sqref>F19</xm:sqref>
        </x14:dataValidation>
        <x14:dataValidation type="decimal" operator="greaterThanOrEqual" allowBlank="1" showInputMessage="1" showErrorMessage="1" errorTitle="Minimum System Voltage Violation" error="The minimum system voltage must be at least 10V." xr:uid="{00000000-0002-0000-0100-000016000000}">
          <x14:formula1>
            <xm:f>'Device Parameters'!C5</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workbookViewId="0">
      <selection activeCell="H25" sqref="H25"/>
    </sheetView>
  </sheetViews>
  <sheetFormatPr defaultRowHeight="12.75" x14ac:dyDescent="0.2"/>
  <cols>
    <col min="1" max="1" width="9.42578125" customWidth="1"/>
    <col min="2" max="2" width="24.28515625" customWidth="1"/>
    <col min="3" max="3" width="9.140625" customWidth="1"/>
    <col min="12" max="12" width="13.5703125" customWidth="1"/>
  </cols>
  <sheetData>
    <row r="2" spans="1:17" x14ac:dyDescent="0.2">
      <c r="A2" s="33"/>
      <c r="C2" s="33" t="s">
        <v>71</v>
      </c>
      <c r="D2" s="33" t="s">
        <v>72</v>
      </c>
      <c r="E2" s="33" t="s">
        <v>73</v>
      </c>
      <c r="F2" s="33" t="s">
        <v>162</v>
      </c>
    </row>
    <row r="3" spans="1:17" x14ac:dyDescent="0.2">
      <c r="A3" s="27" t="s">
        <v>157</v>
      </c>
      <c r="C3" s="33"/>
      <c r="D3" s="33"/>
      <c r="E3" s="33"/>
    </row>
    <row r="4" spans="1:17" x14ac:dyDescent="0.2">
      <c r="A4" s="27"/>
      <c r="B4" s="33" t="s">
        <v>170</v>
      </c>
      <c r="C4" s="81">
        <v>-40</v>
      </c>
      <c r="D4" s="81"/>
      <c r="E4" s="81">
        <v>125</v>
      </c>
    </row>
    <row r="5" spans="1:17" x14ac:dyDescent="0.2">
      <c r="B5" s="34" t="s">
        <v>158</v>
      </c>
      <c r="C5" s="1">
        <v>10</v>
      </c>
      <c r="D5" s="1"/>
      <c r="E5" s="1">
        <v>80</v>
      </c>
      <c r="F5" s="33" t="s">
        <v>86</v>
      </c>
      <c r="J5" s="2"/>
    </row>
    <row r="6" spans="1:17" ht="16.5" customHeight="1" x14ac:dyDescent="0.2">
      <c r="A6" s="27" t="s">
        <v>134</v>
      </c>
      <c r="B6" s="34"/>
      <c r="C6" s="1"/>
      <c r="D6" s="1"/>
      <c r="E6" s="1"/>
      <c r="J6" s="2"/>
    </row>
    <row r="7" spans="1:17" x14ac:dyDescent="0.2">
      <c r="B7" s="34" t="s">
        <v>160</v>
      </c>
      <c r="C7" s="1">
        <v>23.4</v>
      </c>
      <c r="D7" s="1">
        <v>26</v>
      </c>
      <c r="E7" s="1">
        <v>28.6</v>
      </c>
      <c r="J7" s="2"/>
    </row>
    <row r="8" spans="1:17" x14ac:dyDescent="0.2">
      <c r="B8" s="34" t="s">
        <v>159</v>
      </c>
      <c r="C8" s="1">
        <v>45</v>
      </c>
      <c r="D8" s="1">
        <v>50</v>
      </c>
      <c r="E8" s="1">
        <v>55</v>
      </c>
      <c r="J8" s="34"/>
    </row>
    <row r="9" spans="1:17" x14ac:dyDescent="0.2">
      <c r="B9" s="34" t="s">
        <v>161</v>
      </c>
      <c r="C9" s="1">
        <v>20</v>
      </c>
      <c r="D9" s="1">
        <v>25</v>
      </c>
      <c r="E9" s="1">
        <v>35</v>
      </c>
      <c r="F9" s="33" t="s">
        <v>163</v>
      </c>
      <c r="J9" s="34"/>
    </row>
    <row r="10" spans="1:17" x14ac:dyDescent="0.2">
      <c r="C10" s="1"/>
      <c r="D10" s="1"/>
      <c r="E10" s="1"/>
    </row>
    <row r="11" spans="1:17" x14ac:dyDescent="0.2">
      <c r="A11" s="27" t="s">
        <v>172</v>
      </c>
      <c r="C11" s="1"/>
      <c r="D11" s="1"/>
      <c r="E11" s="1"/>
    </row>
    <row r="12" spans="1:17" x14ac:dyDescent="0.2">
      <c r="B12" s="33" t="s">
        <v>277</v>
      </c>
      <c r="C12" s="1"/>
      <c r="D12" s="1"/>
      <c r="E12" s="1">
        <v>1E-3</v>
      </c>
      <c r="F12" s="33" t="s">
        <v>86</v>
      </c>
    </row>
    <row r="13" spans="1:17" x14ac:dyDescent="0.2">
      <c r="B13" s="33" t="s">
        <v>278</v>
      </c>
      <c r="C13" s="156"/>
      <c r="D13" s="156"/>
      <c r="E13" s="156">
        <v>4.0000000000000001E-3</v>
      </c>
      <c r="F13" s="33" t="s">
        <v>86</v>
      </c>
      <c r="G13" s="33" t="s">
        <v>279</v>
      </c>
    </row>
    <row r="14" spans="1:17" x14ac:dyDescent="0.2">
      <c r="B14" s="33" t="s">
        <v>280</v>
      </c>
      <c r="C14" s="156"/>
      <c r="D14" s="156"/>
      <c r="E14" s="160">
        <f>1/(0.000007)</f>
        <v>142857.14285714287</v>
      </c>
      <c r="F14" s="33"/>
    </row>
    <row r="15" spans="1:17" x14ac:dyDescent="0.2">
      <c r="B15" s="33"/>
      <c r="C15" s="156"/>
      <c r="D15" s="156"/>
      <c r="E15" s="160"/>
      <c r="F15" s="33"/>
    </row>
    <row r="16" spans="1:17" x14ac:dyDescent="0.2">
      <c r="B16" s="33" t="s">
        <v>287</v>
      </c>
      <c r="C16" s="159" t="s">
        <v>281</v>
      </c>
      <c r="D16" s="156"/>
      <c r="E16" s="156"/>
      <c r="F16" s="33"/>
      <c r="I16" s="33" t="s">
        <v>282</v>
      </c>
      <c r="J16" s="33" t="s">
        <v>70</v>
      </c>
      <c r="K16" s="33" t="s">
        <v>283</v>
      </c>
      <c r="L16" s="33" t="s">
        <v>285</v>
      </c>
      <c r="M16" s="33" t="s">
        <v>284</v>
      </c>
      <c r="N16" s="33" t="s">
        <v>286</v>
      </c>
      <c r="P16" s="33" t="s">
        <v>284</v>
      </c>
      <c r="Q16" s="33" t="s">
        <v>283</v>
      </c>
    </row>
    <row r="17" spans="1:17" x14ac:dyDescent="0.2">
      <c r="B17" s="33"/>
      <c r="C17" s="159" t="s">
        <v>443</v>
      </c>
      <c r="D17" s="156"/>
      <c r="E17" s="156"/>
      <c r="F17" s="33"/>
      <c r="J17">
        <v>12</v>
      </c>
      <c r="K17">
        <v>25</v>
      </c>
      <c r="L17">
        <f>0.5</f>
        <v>0.5</v>
      </c>
      <c r="M17" s="162">
        <f>1/(0.001*L17)*(K17*1000/$E$14+J17*$E$12)</f>
        <v>374</v>
      </c>
      <c r="N17" s="161">
        <f>K17*1000/$E$14/J17+$E$12</f>
        <v>1.5583333333333331E-2</v>
      </c>
      <c r="P17">
        <v>82</v>
      </c>
      <c r="Q17">
        <f>E14*(P17*L17*0.001-J17*E12)</f>
        <v>4142.8571428571431</v>
      </c>
    </row>
    <row r="18" spans="1:17" x14ac:dyDescent="0.2">
      <c r="B18" s="33"/>
      <c r="C18" s="159" t="s">
        <v>468</v>
      </c>
      <c r="D18" s="156"/>
      <c r="E18" s="156"/>
      <c r="F18" s="33"/>
      <c r="J18">
        <v>12</v>
      </c>
      <c r="K18">
        <v>5</v>
      </c>
      <c r="L18">
        <f>0.5</f>
        <v>0.5</v>
      </c>
      <c r="M18" s="162">
        <f>1/(0.001*L18)*(K18*1000/$E$14+J18*$E$12)</f>
        <v>94</v>
      </c>
      <c r="N18" s="161">
        <f>K18*1000/$E$14/J18+$E$12*0.001</f>
        <v>2.9176666666666665E-3</v>
      </c>
    </row>
    <row r="19" spans="1:17" x14ac:dyDescent="0.2">
      <c r="B19" s="33" t="s">
        <v>288</v>
      </c>
      <c r="E19" s="156"/>
      <c r="F19" s="33"/>
      <c r="I19" s="33" t="s">
        <v>290</v>
      </c>
      <c r="M19" s="162"/>
      <c r="N19" s="161"/>
    </row>
    <row r="20" spans="1:17" x14ac:dyDescent="0.2">
      <c r="C20" s="1"/>
      <c r="D20" s="1"/>
      <c r="E20" s="1"/>
    </row>
    <row r="21" spans="1:17" x14ac:dyDescent="0.2">
      <c r="A21" s="27" t="s">
        <v>165</v>
      </c>
      <c r="C21" s="1"/>
      <c r="D21" s="1"/>
      <c r="E21" s="1"/>
    </row>
    <row r="22" spans="1:17" x14ac:dyDescent="0.2">
      <c r="B22" s="34" t="s">
        <v>166</v>
      </c>
      <c r="C22" s="1">
        <v>3.74</v>
      </c>
      <c r="D22" s="1">
        <v>3.9</v>
      </c>
      <c r="E22" s="1">
        <v>4.07</v>
      </c>
      <c r="F22" s="33" t="s">
        <v>86</v>
      </c>
    </row>
    <row r="23" spans="1:17" x14ac:dyDescent="0.2">
      <c r="B23" s="34" t="s">
        <v>167</v>
      </c>
      <c r="C23" s="1">
        <v>-5.9</v>
      </c>
      <c r="D23" s="1">
        <v>-4.8</v>
      </c>
      <c r="E23" s="1">
        <v>-3.3</v>
      </c>
      <c r="F23" s="33" t="s">
        <v>163</v>
      </c>
    </row>
    <row r="24" spans="1:17" x14ac:dyDescent="0.2">
      <c r="B24" s="34" t="s">
        <v>376</v>
      </c>
      <c r="C24" s="200"/>
      <c r="D24" s="200"/>
      <c r="E24" s="200"/>
      <c r="F24" s="33"/>
    </row>
    <row r="25" spans="1:17" x14ac:dyDescent="0.2">
      <c r="B25" s="34" t="s">
        <v>168</v>
      </c>
      <c r="C25" s="1">
        <v>90</v>
      </c>
      <c r="D25" s="1">
        <v>75</v>
      </c>
      <c r="E25" s="1">
        <v>60</v>
      </c>
      <c r="F25" s="33" t="s">
        <v>163</v>
      </c>
    </row>
    <row r="26" spans="1:17" x14ac:dyDescent="0.2">
      <c r="B26" s="34" t="s">
        <v>313</v>
      </c>
      <c r="C26" s="157"/>
      <c r="D26" s="157">
        <f>SQRT(0.66^2+ ((120-90)/90)^2+ 0.1^2)</f>
        <v>0.74613076006227697</v>
      </c>
      <c r="E26" s="157"/>
      <c r="F26" s="33"/>
      <c r="G26" s="33" t="s">
        <v>312</v>
      </c>
    </row>
    <row r="27" spans="1:17" x14ac:dyDescent="0.2">
      <c r="B27" s="34" t="s">
        <v>310</v>
      </c>
      <c r="C27" s="157"/>
      <c r="D27" s="157">
        <v>0.5</v>
      </c>
      <c r="E27" s="157"/>
      <c r="F27" s="33"/>
      <c r="G27" s="33" t="s">
        <v>311</v>
      </c>
    </row>
    <row r="28" spans="1:17" x14ac:dyDescent="0.2">
      <c r="B28" s="2"/>
      <c r="C28" s="1"/>
      <c r="D28" s="1"/>
      <c r="E28" s="1"/>
    </row>
    <row r="29" spans="1:17" x14ac:dyDescent="0.2">
      <c r="A29" s="27" t="s">
        <v>200</v>
      </c>
      <c r="B29" s="2"/>
      <c r="C29" s="1"/>
      <c r="D29" s="1"/>
      <c r="E29" s="1"/>
    </row>
    <row r="30" spans="1:17" x14ac:dyDescent="0.2">
      <c r="B30" s="34" t="s">
        <v>204</v>
      </c>
      <c r="C30" s="1">
        <v>7.5</v>
      </c>
      <c r="D30" s="1">
        <v>20</v>
      </c>
      <c r="E30" s="1">
        <v>40</v>
      </c>
    </row>
    <row r="31" spans="1:17" x14ac:dyDescent="0.2">
      <c r="B31" s="2"/>
      <c r="C31" s="1"/>
      <c r="D31" s="1"/>
      <c r="E31" s="1"/>
    </row>
    <row r="32" spans="1:17" x14ac:dyDescent="0.2">
      <c r="A32" s="27" t="s">
        <v>164</v>
      </c>
      <c r="B32" s="2"/>
      <c r="C32" s="316" t="s">
        <v>435</v>
      </c>
      <c r="D32" s="316"/>
      <c r="E32" s="316"/>
      <c r="F32" s="316" t="s">
        <v>436</v>
      </c>
      <c r="G32" s="316"/>
      <c r="H32" s="316"/>
    </row>
    <row r="33" spans="1:8" x14ac:dyDescent="0.2">
      <c r="B33" s="34" t="s">
        <v>437</v>
      </c>
      <c r="C33" s="1">
        <v>38</v>
      </c>
      <c r="D33" s="1">
        <v>48</v>
      </c>
      <c r="E33" s="1">
        <v>58</v>
      </c>
      <c r="F33" s="224">
        <v>76</v>
      </c>
      <c r="G33" s="224">
        <v>96</v>
      </c>
      <c r="H33" s="224">
        <v>116</v>
      </c>
    </row>
    <row r="34" spans="1:8" x14ac:dyDescent="0.2">
      <c r="B34" s="34" t="s">
        <v>438</v>
      </c>
      <c r="C34" s="1">
        <v>1.5</v>
      </c>
      <c r="D34" s="1">
        <v>1.88</v>
      </c>
      <c r="E34" s="1">
        <v>2.2999999999999998</v>
      </c>
      <c r="F34" s="224">
        <v>1.64</v>
      </c>
      <c r="G34" s="224">
        <v>1.94</v>
      </c>
      <c r="H34" s="224">
        <v>2.23</v>
      </c>
    </row>
    <row r="35" spans="1:8" x14ac:dyDescent="0.2">
      <c r="B35" s="34" t="s">
        <v>439</v>
      </c>
      <c r="C35" s="1">
        <v>76</v>
      </c>
      <c r="D35" s="1">
        <v>96</v>
      </c>
      <c r="E35" s="1">
        <v>116</v>
      </c>
      <c r="F35" s="224">
        <v>155</v>
      </c>
      <c r="G35" s="224">
        <v>193</v>
      </c>
      <c r="H35" s="224">
        <v>235</v>
      </c>
    </row>
    <row r="36" spans="1:8" x14ac:dyDescent="0.2">
      <c r="B36" s="34" t="s">
        <v>440</v>
      </c>
      <c r="C36" s="1">
        <v>3.1</v>
      </c>
      <c r="D36" s="1">
        <v>3.75</v>
      </c>
      <c r="E36" s="1">
        <v>4.45</v>
      </c>
      <c r="F36" s="224">
        <v>3.28</v>
      </c>
      <c r="G36" s="224">
        <v>3.87</v>
      </c>
      <c r="H36" s="224">
        <v>4.45</v>
      </c>
    </row>
    <row r="37" spans="1:8" x14ac:dyDescent="0.2">
      <c r="B37" s="2"/>
      <c r="C37" s="1"/>
      <c r="D37" s="1"/>
      <c r="E37" s="1"/>
    </row>
    <row r="38" spans="1:8" x14ac:dyDescent="0.2">
      <c r="A38" s="27" t="s">
        <v>244</v>
      </c>
      <c r="B38" s="2"/>
    </row>
    <row r="39" spans="1:8" x14ac:dyDescent="0.2">
      <c r="B39" s="34" t="s">
        <v>166</v>
      </c>
      <c r="C39">
        <v>3.74</v>
      </c>
      <c r="D39">
        <v>3.9</v>
      </c>
      <c r="E39">
        <v>4.07</v>
      </c>
    </row>
    <row r="40" spans="1:8" x14ac:dyDescent="0.2">
      <c r="B40" s="34" t="s">
        <v>245</v>
      </c>
      <c r="C40">
        <v>1</v>
      </c>
      <c r="D40">
        <v>1.2</v>
      </c>
      <c r="E40">
        <v>1.4</v>
      </c>
    </row>
    <row r="41" spans="1:8" x14ac:dyDescent="0.2">
      <c r="B41" s="34" t="s">
        <v>246</v>
      </c>
      <c r="D41">
        <v>0.3</v>
      </c>
    </row>
    <row r="42" spans="1:8" x14ac:dyDescent="0.2">
      <c r="B42" s="34" t="s">
        <v>247</v>
      </c>
      <c r="D42">
        <v>0.3</v>
      </c>
    </row>
    <row r="43" spans="1:8" x14ac:dyDescent="0.2">
      <c r="B43" s="34" t="s">
        <v>248</v>
      </c>
      <c r="C43">
        <v>3.3</v>
      </c>
      <c r="D43">
        <v>4.8</v>
      </c>
      <c r="E43">
        <v>5.9</v>
      </c>
    </row>
    <row r="44" spans="1:8" x14ac:dyDescent="0.2">
      <c r="B44" s="34" t="s">
        <v>249</v>
      </c>
      <c r="C44">
        <v>0.9</v>
      </c>
      <c r="D44">
        <v>1.5</v>
      </c>
      <c r="E44">
        <v>2.1</v>
      </c>
    </row>
    <row r="45" spans="1:8" x14ac:dyDescent="0.2">
      <c r="B45" s="34" t="s">
        <v>168</v>
      </c>
      <c r="C45">
        <v>60</v>
      </c>
      <c r="D45">
        <v>75</v>
      </c>
      <c r="E45">
        <v>90</v>
      </c>
    </row>
    <row r="46" spans="1:8" x14ac:dyDescent="0.2">
      <c r="B46" s="34" t="s">
        <v>250</v>
      </c>
      <c r="C46">
        <v>1.7</v>
      </c>
      <c r="D46">
        <v>2.8</v>
      </c>
      <c r="E46">
        <v>3.2</v>
      </c>
    </row>
    <row r="48" spans="1:8" x14ac:dyDescent="0.2">
      <c r="A48" s="27" t="s">
        <v>254</v>
      </c>
    </row>
    <row r="49" spans="1:8" x14ac:dyDescent="0.2">
      <c r="B49" s="34" t="s">
        <v>255</v>
      </c>
      <c r="D49">
        <v>100</v>
      </c>
      <c r="E49">
        <v>400</v>
      </c>
      <c r="F49" s="33" t="s">
        <v>173</v>
      </c>
      <c r="G49">
        <v>2</v>
      </c>
      <c r="H49" s="33" t="s">
        <v>256</v>
      </c>
    </row>
    <row r="50" spans="1:8" x14ac:dyDescent="0.2">
      <c r="A50" s="27" t="s">
        <v>257</v>
      </c>
    </row>
    <row r="51" spans="1:8" x14ac:dyDescent="0.2">
      <c r="B51" s="33" t="s">
        <v>258</v>
      </c>
      <c r="C51">
        <v>2.41</v>
      </c>
      <c r="D51">
        <v>2.46</v>
      </c>
      <c r="E51">
        <v>2.52</v>
      </c>
      <c r="F51" s="33" t="s">
        <v>86</v>
      </c>
    </row>
    <row r="52" spans="1:8" x14ac:dyDescent="0.2">
      <c r="B52" s="33" t="s">
        <v>259</v>
      </c>
      <c r="C52">
        <v>15</v>
      </c>
      <c r="D52">
        <v>20</v>
      </c>
      <c r="E52">
        <v>25</v>
      </c>
      <c r="F52" s="33" t="s">
        <v>163</v>
      </c>
    </row>
  </sheetData>
  <mergeCells count="2">
    <mergeCell ref="C32:E32"/>
    <mergeCell ref="F32:H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Y273"/>
  <sheetViews>
    <sheetView topLeftCell="G232" workbookViewId="0">
      <selection activeCell="E34" sqref="E34"/>
    </sheetView>
  </sheetViews>
  <sheetFormatPr defaultRowHeight="12.75" x14ac:dyDescent="0.2"/>
  <cols>
    <col min="6" max="6" width="12.42578125" bestFit="1" customWidth="1"/>
    <col min="8" max="8" width="14" customWidth="1"/>
    <col min="9" max="9" width="12.7109375" customWidth="1"/>
    <col min="10" max="10" width="11.7109375" customWidth="1"/>
  </cols>
  <sheetData>
    <row r="2" spans="1:8" x14ac:dyDescent="0.2">
      <c r="A2" s="27" t="s">
        <v>134</v>
      </c>
    </row>
    <row r="3" spans="1:8" x14ac:dyDescent="0.2">
      <c r="E3" s="2"/>
    </row>
    <row r="4" spans="1:8" x14ac:dyDescent="0.2">
      <c r="D4" t="s">
        <v>211</v>
      </c>
      <c r="E4">
        <f>IF('Design Calculator'!$F$20="26 mV",'Device Parameters'!C7,'Device Parameters'!C8)</f>
        <v>45</v>
      </c>
      <c r="F4" s="106" t="s">
        <v>173</v>
      </c>
    </row>
    <row r="5" spans="1:8" x14ac:dyDescent="0.2">
      <c r="D5" t="s">
        <v>210</v>
      </c>
      <c r="E5">
        <f>IF('Design Calculator'!$F$20="26 mV",'Device Parameters'!D7,'Device Parameters'!D8)</f>
        <v>50</v>
      </c>
      <c r="F5" s="106" t="s">
        <v>173</v>
      </c>
    </row>
    <row r="6" spans="1:8" x14ac:dyDescent="0.2">
      <c r="D6" t="s">
        <v>209</v>
      </c>
      <c r="E6">
        <f>IF('Design Calculator'!$F$20="26 mV",'Device Parameters'!E7,'Device Parameters'!E8)</f>
        <v>55</v>
      </c>
      <c r="F6" s="106" t="s">
        <v>173</v>
      </c>
    </row>
    <row r="7" spans="1:8" x14ac:dyDescent="0.2">
      <c r="E7" s="2"/>
    </row>
    <row r="8" spans="1:8" x14ac:dyDescent="0.2">
      <c r="A8" s="27"/>
      <c r="E8" s="2"/>
    </row>
    <row r="9" spans="1:8" x14ac:dyDescent="0.2">
      <c r="E9" s="2" t="s">
        <v>0</v>
      </c>
      <c r="F9">
        <f>CLMIN_Threshold/('Design Calculator'!F17*1.01)</f>
        <v>1.113861386138614</v>
      </c>
    </row>
    <row r="10" spans="1:8" x14ac:dyDescent="0.2">
      <c r="E10" s="34" t="s">
        <v>212</v>
      </c>
      <c r="F10" s="33" t="str">
        <f>IF(Rs&gt;RsMAX,10,"NA")</f>
        <v>NA</v>
      </c>
    </row>
    <row r="11" spans="1:8" x14ac:dyDescent="0.2">
      <c r="E11" s="34" t="s">
        <v>213</v>
      </c>
      <c r="F11" t="str">
        <f>IF(Rs&gt;RsMAX,(((IOUTMAX*Rs)/CLMIN_Threshold)-1)*F10,"NA")</f>
        <v>NA</v>
      </c>
    </row>
    <row r="12" spans="1:8" x14ac:dyDescent="0.2">
      <c r="E12" s="34" t="s">
        <v>214</v>
      </c>
      <c r="F12">
        <f>IF(RsMAX&gt;Rs,Rs,IF('Design Calculator'!F22="Yes",IF(Rs&gt;RsMAX,Rs/(1+RDIV2/RDIV1),Rs),Rs))</f>
        <v>1</v>
      </c>
      <c r="H12" s="142"/>
    </row>
    <row r="13" spans="1:8" x14ac:dyDescent="0.2">
      <c r="E13" s="2" t="s">
        <v>1</v>
      </c>
      <c r="F13" s="4">
        <f>CLMIN_Threshold/RsEFF</f>
        <v>45</v>
      </c>
      <c r="G13" s="4"/>
    </row>
    <row r="14" spans="1:8" x14ac:dyDescent="0.2">
      <c r="E14" s="2" t="s">
        <v>2</v>
      </c>
      <c r="F14">
        <f>CLNOM_Threshold/RsEFF</f>
        <v>50</v>
      </c>
    </row>
    <row r="15" spans="1:8" x14ac:dyDescent="0.2">
      <c r="E15" s="2" t="s">
        <v>3</v>
      </c>
      <c r="F15">
        <f>CLMAX_Threshold/RsEFF</f>
        <v>55</v>
      </c>
    </row>
    <row r="16" spans="1:8" x14ac:dyDescent="0.2">
      <c r="E16" s="2" t="s">
        <v>4</v>
      </c>
      <c r="F16">
        <f>F15^2*'Design Calculator'!F23</f>
        <v>3025</v>
      </c>
    </row>
    <row r="18" spans="1:8" s="272" customFormat="1" x14ac:dyDescent="0.2"/>
    <row r="19" spans="1:8" s="272" customFormat="1" x14ac:dyDescent="0.2">
      <c r="E19" s="34" t="s">
        <v>504</v>
      </c>
      <c r="F19" s="272">
        <f>CLNOM_Threshold*IF('Design Calculator'!F34 = "1.9 x Current Limit", 1.9, 3.9)</f>
        <v>95</v>
      </c>
      <c r="G19" s="273" t="s">
        <v>173</v>
      </c>
    </row>
    <row r="20" spans="1:8" ht="16.149999999999999" customHeight="1" x14ac:dyDescent="0.2">
      <c r="E20" s="34" t="s">
        <v>505</v>
      </c>
      <c r="F20">
        <f>F19/RsEFF</f>
        <v>95</v>
      </c>
      <c r="G20" s="273" t="s">
        <v>25</v>
      </c>
    </row>
    <row r="21" spans="1:8" x14ac:dyDescent="0.2">
      <c r="E21" s="2"/>
    </row>
    <row r="22" spans="1:8" x14ac:dyDescent="0.2">
      <c r="A22" s="27" t="s">
        <v>154</v>
      </c>
    </row>
    <row r="23" spans="1:8" x14ac:dyDescent="0.2">
      <c r="A23" s="33"/>
      <c r="F23" s="33" t="s">
        <v>155</v>
      </c>
      <c r="H23" s="33" t="s">
        <v>156</v>
      </c>
    </row>
    <row r="24" spans="1:8" x14ac:dyDescent="0.2">
      <c r="A24" s="33"/>
      <c r="E24" s="67" t="s">
        <v>130</v>
      </c>
      <c r="F24" s="68">
        <f>VINMAX*'Design Calculator'!F40</f>
        <v>7200</v>
      </c>
      <c r="G24" s="33" t="s">
        <v>87</v>
      </c>
      <c r="H24">
        <f>F24*(TJMAX-TJ)/(TJMAX-25)</f>
        <v>3212.8</v>
      </c>
    </row>
    <row r="25" spans="1:8" x14ac:dyDescent="0.2">
      <c r="A25" s="33"/>
      <c r="E25" s="67" t="s">
        <v>131</v>
      </c>
      <c r="F25" s="68">
        <f>VINMAX*'Design Calculator'!F41</f>
        <v>420</v>
      </c>
      <c r="G25" s="33" t="s">
        <v>87</v>
      </c>
      <c r="H25">
        <f>F25*(TJMAX-TJ)/(TJMAX-25)</f>
        <v>187.41333333333333</v>
      </c>
    </row>
    <row r="26" spans="1:8" x14ac:dyDescent="0.2">
      <c r="A26" s="33"/>
      <c r="E26" s="67" t="s">
        <v>132</v>
      </c>
      <c r="F26" s="68">
        <f>VINMAX*'Design Calculator'!F42</f>
        <v>120</v>
      </c>
      <c r="G26" s="33" t="s">
        <v>87</v>
      </c>
      <c r="H26">
        <f>F26*(TJMAX-TJ)/(TJMAX-25)</f>
        <v>53.546666666666667</v>
      </c>
    </row>
    <row r="27" spans="1:8" x14ac:dyDescent="0.2">
      <c r="A27" s="33"/>
      <c r="E27" s="67" t="s">
        <v>133</v>
      </c>
      <c r="F27" s="68" t="e">
        <f>VINMAX*'Design Calculator'!F43</f>
        <v>#VALUE!</v>
      </c>
      <c r="G27" s="76" t="s">
        <v>87</v>
      </c>
      <c r="H27" t="e">
        <f>F27*(TJMAX-TJ)/(TJMAX-25)</f>
        <v>#VALUE!</v>
      </c>
    </row>
    <row r="28" spans="1:8" x14ac:dyDescent="0.2">
      <c r="A28" s="33"/>
      <c r="E28" s="78"/>
      <c r="F28" s="77"/>
      <c r="G28" s="76"/>
    </row>
    <row r="29" spans="1:8" x14ac:dyDescent="0.2">
      <c r="A29" s="33"/>
      <c r="E29" s="78" t="s">
        <v>174</v>
      </c>
      <c r="F29" s="77">
        <f>VINMAX*'Device Parameters'!E13/RsEFF/0.001</f>
        <v>240</v>
      </c>
      <c r="G29" s="76" t="s">
        <v>87</v>
      </c>
    </row>
    <row r="30" spans="1:8" x14ac:dyDescent="0.2">
      <c r="A30" s="33"/>
      <c r="D30" s="150"/>
      <c r="E30" s="78" t="s">
        <v>293</v>
      </c>
      <c r="F30" s="77">
        <f>'Design Calculator'!F48</f>
        <v>483</v>
      </c>
      <c r="G30" s="76" t="s">
        <v>87</v>
      </c>
      <c r="H30" s="150"/>
    </row>
    <row r="31" spans="1:8" x14ac:dyDescent="0.2">
      <c r="A31" s="33"/>
      <c r="D31" s="150"/>
      <c r="E31" s="78" t="s">
        <v>283</v>
      </c>
      <c r="F31" s="150">
        <f>'Device Parameters'!E14*(F30*RsEFF*0.001-0.043)/1000</f>
        <v>62.857142857142861</v>
      </c>
      <c r="G31" s="76" t="s">
        <v>294</v>
      </c>
      <c r="H31" s="150"/>
    </row>
    <row r="32" spans="1:8" x14ac:dyDescent="0.2">
      <c r="A32" s="33"/>
      <c r="D32" s="150"/>
      <c r="E32" s="78" t="s">
        <v>296</v>
      </c>
      <c r="F32" s="77">
        <f>RPWR</f>
        <v>28.7</v>
      </c>
      <c r="G32" s="76" t="s">
        <v>294</v>
      </c>
      <c r="H32" s="150"/>
    </row>
    <row r="33" spans="1:12" x14ac:dyDescent="0.2">
      <c r="A33" s="33"/>
      <c r="D33" s="150"/>
      <c r="E33" s="78" t="s">
        <v>297</v>
      </c>
      <c r="F33" s="228">
        <f>1/RsEFF*1000*(Equations!F32*1000/'Device Parameters'!E14+0.043)</f>
        <v>243.9</v>
      </c>
      <c r="G33" s="76" t="s">
        <v>87</v>
      </c>
      <c r="H33" s="150"/>
    </row>
    <row r="34" spans="1:12" x14ac:dyDescent="0.2">
      <c r="A34" s="33"/>
      <c r="D34" s="150"/>
      <c r="E34" s="78"/>
      <c r="F34" s="150"/>
      <c r="G34" s="76"/>
      <c r="H34" s="150"/>
    </row>
    <row r="35" spans="1:12" x14ac:dyDescent="0.2">
      <c r="A35" s="33"/>
      <c r="D35" s="150"/>
      <c r="E35" s="78"/>
      <c r="F35" s="150"/>
      <c r="G35" s="76"/>
      <c r="H35" s="150"/>
    </row>
    <row r="36" spans="1:12" x14ac:dyDescent="0.2">
      <c r="A36" s="33"/>
      <c r="D36" s="150"/>
      <c r="E36" s="78"/>
      <c r="F36" s="150"/>
      <c r="G36" s="76"/>
      <c r="H36" s="150"/>
    </row>
    <row r="37" spans="1:12" x14ac:dyDescent="0.2">
      <c r="D37" s="150"/>
      <c r="E37" s="229" t="s">
        <v>5</v>
      </c>
      <c r="F37" s="230">
        <f>F38*(1-0.24)</f>
        <v>185.364</v>
      </c>
      <c r="G37" s="150" t="s">
        <v>15</v>
      </c>
      <c r="H37" s="150"/>
    </row>
    <row r="38" spans="1:12" x14ac:dyDescent="0.2">
      <c r="D38" s="150"/>
      <c r="E38" s="229" t="s">
        <v>6</v>
      </c>
      <c r="F38" s="230">
        <f>F33</f>
        <v>243.9</v>
      </c>
      <c r="G38" s="150"/>
      <c r="H38" s="150"/>
    </row>
    <row r="39" spans="1:12" x14ac:dyDescent="0.2">
      <c r="D39" s="150"/>
      <c r="E39" s="229" t="s">
        <v>7</v>
      </c>
      <c r="F39" s="230">
        <f>F38*(1+0.24)</f>
        <v>302.43599999999998</v>
      </c>
      <c r="G39" s="150"/>
      <c r="H39" s="150"/>
    </row>
    <row r="40" spans="1:12" x14ac:dyDescent="0.2">
      <c r="D40" s="150"/>
      <c r="E40" s="229"/>
      <c r="F40" s="231"/>
      <c r="G40" s="150"/>
      <c r="H40" s="229"/>
      <c r="I40" s="1"/>
      <c r="K40" s="2"/>
      <c r="L40" s="1"/>
    </row>
    <row r="41" spans="1:12" x14ac:dyDescent="0.2">
      <c r="D41" s="150"/>
      <c r="E41" s="229"/>
      <c r="F41" s="231"/>
      <c r="G41" s="150"/>
      <c r="H41" s="229"/>
      <c r="I41" s="1"/>
      <c r="K41" s="2"/>
      <c r="L41" s="1"/>
    </row>
    <row r="42" spans="1:12" x14ac:dyDescent="0.2">
      <c r="A42" s="27" t="s">
        <v>153</v>
      </c>
      <c r="D42" s="150"/>
      <c r="E42" s="150"/>
      <c r="F42" s="150"/>
      <c r="G42" s="150"/>
      <c r="H42" s="150"/>
    </row>
    <row r="43" spans="1:12" x14ac:dyDescent="0.2">
      <c r="A43" s="27"/>
      <c r="D43" s="317" t="s">
        <v>336</v>
      </c>
      <c r="E43" s="318"/>
      <c r="F43" s="318"/>
      <c r="G43" s="318"/>
      <c r="H43" s="150"/>
    </row>
    <row r="44" spans="1:12" x14ac:dyDescent="0.2">
      <c r="A44" s="27"/>
      <c r="D44" s="150"/>
      <c r="E44" s="78" t="s">
        <v>316</v>
      </c>
      <c r="F44" s="230">
        <f>Start_up!M2</f>
        <v>300</v>
      </c>
      <c r="G44" s="232" t="s">
        <v>8</v>
      </c>
      <c r="H44" s="150"/>
    </row>
    <row r="45" spans="1:12" x14ac:dyDescent="0.2">
      <c r="A45" s="27"/>
      <c r="D45" s="150"/>
      <c r="E45" s="78" t="s">
        <v>317</v>
      </c>
      <c r="F45" s="230">
        <f>'Device Parameters'!D27</f>
        <v>0.5</v>
      </c>
      <c r="G45" s="150"/>
      <c r="H45" s="150"/>
    </row>
    <row r="46" spans="1:12" x14ac:dyDescent="0.2">
      <c r="A46" s="27"/>
      <c r="D46" s="150"/>
      <c r="E46" s="78" t="s">
        <v>318</v>
      </c>
      <c r="F46" s="150">
        <f>F44*(1+F45)</f>
        <v>450</v>
      </c>
      <c r="G46" s="232" t="s">
        <v>8</v>
      </c>
      <c r="H46" s="150"/>
    </row>
    <row r="47" spans="1:12" x14ac:dyDescent="0.2">
      <c r="A47" s="27"/>
      <c r="D47" s="150"/>
      <c r="E47" s="78" t="s">
        <v>319</v>
      </c>
      <c r="F47" s="150">
        <f>'Device Parameters'!D25/'Device Parameters'!D22*F46</f>
        <v>8653.8461538461543</v>
      </c>
      <c r="G47" s="232" t="s">
        <v>120</v>
      </c>
      <c r="H47" s="150"/>
    </row>
    <row r="48" spans="1:12" x14ac:dyDescent="0.2">
      <c r="A48" s="27"/>
      <c r="D48" s="150"/>
      <c r="E48" s="78" t="s">
        <v>320</v>
      </c>
      <c r="F48" s="230">
        <f>'Design Calculator'!F60</f>
        <v>82</v>
      </c>
      <c r="G48" s="232" t="s">
        <v>120</v>
      </c>
      <c r="H48" s="150"/>
    </row>
    <row r="49" spans="1:8" x14ac:dyDescent="0.2">
      <c r="A49" s="27"/>
      <c r="D49" s="150"/>
      <c r="E49" s="78" t="s">
        <v>323</v>
      </c>
      <c r="F49" s="150">
        <f>'Device Parameters'!D22/'Device Parameters'!D25*F48</f>
        <v>4.2640000000000002</v>
      </c>
      <c r="G49" s="232" t="s">
        <v>8</v>
      </c>
      <c r="H49" s="150"/>
    </row>
    <row r="50" spans="1:8" x14ac:dyDescent="0.2">
      <c r="A50" s="27"/>
      <c r="D50" s="150"/>
      <c r="E50" s="78" t="s">
        <v>331</v>
      </c>
      <c r="F50" s="150">
        <f>SOA!C26/F38</f>
        <v>1.7221230869499415</v>
      </c>
      <c r="G50" s="232"/>
      <c r="H50" s="150"/>
    </row>
    <row r="51" spans="1:8" x14ac:dyDescent="0.2">
      <c r="A51" s="27"/>
      <c r="D51" s="317" t="s">
        <v>340</v>
      </c>
      <c r="E51" s="318"/>
      <c r="F51" s="318"/>
      <c r="G51" s="318"/>
      <c r="H51" s="150"/>
    </row>
    <row r="52" spans="1:8" x14ac:dyDescent="0.2">
      <c r="A52" s="27"/>
      <c r="C52" s="33"/>
      <c r="D52" s="233"/>
      <c r="E52" s="78" t="s">
        <v>337</v>
      </c>
      <c r="F52" s="234">
        <f>'Design Calculator'!F66</f>
        <v>0.2</v>
      </c>
      <c r="G52" s="234" t="s">
        <v>338</v>
      </c>
      <c r="H52" s="150"/>
    </row>
    <row r="53" spans="1:8" x14ac:dyDescent="0.2">
      <c r="A53" s="27"/>
      <c r="C53" s="33"/>
      <c r="D53" s="233"/>
      <c r="E53" s="78" t="s">
        <v>361</v>
      </c>
      <c r="F53" s="231">
        <f>'Device Parameters'!D30/ss_rate</f>
        <v>100</v>
      </c>
      <c r="G53" s="232" t="s">
        <v>120</v>
      </c>
      <c r="H53" s="150"/>
    </row>
    <row r="54" spans="1:8" x14ac:dyDescent="0.2">
      <c r="A54" s="27"/>
      <c r="C54" s="33"/>
      <c r="D54" s="233"/>
      <c r="E54" s="78" t="s">
        <v>362</v>
      </c>
      <c r="F54" s="234">
        <f>'Design Calculator'!F68</f>
        <v>100</v>
      </c>
      <c r="G54" s="232" t="s">
        <v>120</v>
      </c>
      <c r="H54" s="150"/>
    </row>
    <row r="55" spans="1:8" x14ac:dyDescent="0.2">
      <c r="A55" s="27"/>
      <c r="C55" s="33"/>
      <c r="D55" s="233"/>
      <c r="E55" s="78" t="s">
        <v>363</v>
      </c>
      <c r="F55" s="231">
        <f>ss_rate*F53/F54</f>
        <v>0.2</v>
      </c>
      <c r="G55" s="232" t="s">
        <v>338</v>
      </c>
      <c r="H55" s="150"/>
    </row>
    <row r="56" spans="1:8" x14ac:dyDescent="0.2">
      <c r="A56" s="27"/>
      <c r="C56" s="33"/>
      <c r="D56" s="233"/>
      <c r="E56" s="78" t="s">
        <v>339</v>
      </c>
      <c r="F56" s="234">
        <f>COUTMAX*F55/1000</f>
        <v>0.16200000000000001</v>
      </c>
      <c r="G56" s="234" t="s">
        <v>25</v>
      </c>
      <c r="H56" s="150"/>
    </row>
    <row r="57" spans="1:8" x14ac:dyDescent="0.2">
      <c r="A57" s="27"/>
      <c r="C57" s="33"/>
      <c r="D57" s="233"/>
      <c r="E57" s="78" t="s">
        <v>354</v>
      </c>
      <c r="F57" s="234">
        <f>VINMAX/F55</f>
        <v>300</v>
      </c>
      <c r="G57" s="234" t="s">
        <v>8</v>
      </c>
      <c r="H57" s="150"/>
    </row>
    <row r="58" spans="1:8" x14ac:dyDescent="0.2">
      <c r="A58" s="27"/>
      <c r="C58" s="33"/>
      <c r="D58" s="233"/>
      <c r="E58" s="78" t="s">
        <v>355</v>
      </c>
      <c r="F58" s="234">
        <f>Start_up!N5</f>
        <v>1.5023942307692306</v>
      </c>
      <c r="G58" s="234" t="s">
        <v>344</v>
      </c>
      <c r="H58" s="150"/>
    </row>
    <row r="59" spans="1:8" x14ac:dyDescent="0.2">
      <c r="A59" s="27"/>
      <c r="C59" s="33"/>
      <c r="D59" s="233"/>
      <c r="E59" s="78" t="s">
        <v>356</v>
      </c>
      <c r="F59" s="234">
        <f>Start_up!Q4</f>
        <v>9.7200000000000006</v>
      </c>
      <c r="G59" s="234" t="s">
        <v>87</v>
      </c>
      <c r="H59" s="150"/>
    </row>
    <row r="60" spans="1:8" x14ac:dyDescent="0.2">
      <c r="A60" s="27"/>
      <c r="D60" s="235"/>
      <c r="E60" s="78" t="s">
        <v>357</v>
      </c>
      <c r="F60" s="234">
        <f>F58/F59*1000</f>
        <v>154.56730769230768</v>
      </c>
      <c r="G60" s="234" t="s">
        <v>8</v>
      </c>
      <c r="H60" s="150"/>
    </row>
    <row r="61" spans="1:8" x14ac:dyDescent="0.2">
      <c r="A61" s="27"/>
      <c r="D61" s="150"/>
      <c r="E61" s="78" t="s">
        <v>358</v>
      </c>
      <c r="F61" s="232">
        <f>SOA!H28</f>
        <v>34.921637857566971</v>
      </c>
      <c r="G61" s="234" t="s">
        <v>87</v>
      </c>
      <c r="H61" s="150"/>
    </row>
    <row r="62" spans="1:8" x14ac:dyDescent="0.2">
      <c r="A62" s="27"/>
      <c r="D62" s="150"/>
      <c r="E62" s="78" t="s">
        <v>359</v>
      </c>
      <c r="F62" s="232">
        <f>F61/F59</f>
        <v>3.5927610964575072</v>
      </c>
      <c r="G62" s="232"/>
      <c r="H62" s="150"/>
    </row>
    <row r="63" spans="1:8" x14ac:dyDescent="0.2">
      <c r="A63" s="27"/>
      <c r="D63" s="150"/>
      <c r="E63" s="78"/>
      <c r="F63" s="232"/>
      <c r="G63" s="232"/>
      <c r="H63" s="150"/>
    </row>
    <row r="64" spans="1:8" x14ac:dyDescent="0.2">
      <c r="A64" s="27"/>
      <c r="D64" s="150"/>
      <c r="E64" s="78"/>
      <c r="F64" s="232">
        <v>1</v>
      </c>
      <c r="G64" s="234" t="s">
        <v>8</v>
      </c>
      <c r="H64" s="150"/>
    </row>
    <row r="65" spans="1:8" x14ac:dyDescent="0.2">
      <c r="A65" s="27"/>
      <c r="D65" s="319" t="s">
        <v>368</v>
      </c>
      <c r="E65" s="319"/>
      <c r="F65" s="319"/>
      <c r="G65" s="319"/>
      <c r="H65" s="319"/>
    </row>
    <row r="66" spans="1:8" x14ac:dyDescent="0.2">
      <c r="A66" s="27"/>
      <c r="D66" s="150"/>
      <c r="E66" s="78" t="s">
        <v>364</v>
      </c>
      <c r="F66" s="236">
        <f>'Design Calculator'!F71</f>
        <v>0.52</v>
      </c>
      <c r="G66" s="232"/>
      <c r="H66" s="150"/>
    </row>
    <row r="67" spans="1:8" x14ac:dyDescent="0.2">
      <c r="A67" s="27"/>
      <c r="D67" s="150"/>
      <c r="E67" s="78" t="s">
        <v>365</v>
      </c>
      <c r="F67" s="232">
        <f>'Device Parameters'!D25/'Device Parameters'!D22*F66</f>
        <v>10</v>
      </c>
      <c r="G67" s="232" t="s">
        <v>120</v>
      </c>
      <c r="H67" s="150"/>
    </row>
    <row r="68" spans="1:8" x14ac:dyDescent="0.2">
      <c r="A68" s="27"/>
      <c r="D68" s="150"/>
      <c r="E68" s="198" t="s">
        <v>366</v>
      </c>
      <c r="F68" s="236">
        <f>'Design Calculator'!F73</f>
        <v>10</v>
      </c>
      <c r="G68" s="232" t="s">
        <v>120</v>
      </c>
      <c r="H68" s="150"/>
    </row>
    <row r="69" spans="1:8" x14ac:dyDescent="0.2">
      <c r="A69" s="27"/>
      <c r="D69" s="150"/>
      <c r="E69" s="78" t="s">
        <v>371</v>
      </c>
      <c r="F69" s="232">
        <f>'Device Parameters'!D22/'Device Parameters'!D25*F68</f>
        <v>0.52</v>
      </c>
      <c r="G69" s="232" t="s">
        <v>8</v>
      </c>
      <c r="H69" s="150"/>
    </row>
    <row r="70" spans="1:8" x14ac:dyDescent="0.2">
      <c r="A70" s="27"/>
      <c r="D70" s="150"/>
      <c r="E70" s="198" t="s">
        <v>370</v>
      </c>
      <c r="F70" s="232">
        <f>SOA!C26</f>
        <v>420.02582090709075</v>
      </c>
      <c r="G70" s="232" t="s">
        <v>87</v>
      </c>
      <c r="H70" s="150"/>
    </row>
    <row r="71" spans="1:8" x14ac:dyDescent="0.2">
      <c r="A71" s="27"/>
      <c r="D71" s="150"/>
      <c r="E71" s="78" t="s">
        <v>359</v>
      </c>
      <c r="F71" s="232">
        <f>F70/F33</f>
        <v>1.7221230869499415</v>
      </c>
      <c r="G71" s="232"/>
      <c r="H71" s="150"/>
    </row>
    <row r="72" spans="1:8" x14ac:dyDescent="0.2">
      <c r="A72" s="27"/>
      <c r="D72" s="150"/>
      <c r="E72" s="78"/>
      <c r="F72" s="232"/>
      <c r="G72" s="232"/>
      <c r="H72" s="150"/>
    </row>
    <row r="73" spans="1:8" x14ac:dyDescent="0.2">
      <c r="A73" s="27"/>
      <c r="D73" s="150"/>
      <c r="E73" s="78"/>
      <c r="F73" s="232"/>
      <c r="G73" s="232"/>
      <c r="H73" s="150"/>
    </row>
    <row r="74" spans="1:8" x14ac:dyDescent="0.2">
      <c r="A74" s="27"/>
      <c r="D74" s="150"/>
      <c r="E74" s="78"/>
      <c r="F74" s="232"/>
      <c r="G74" s="232"/>
      <c r="H74" s="150"/>
    </row>
    <row r="75" spans="1:8" x14ac:dyDescent="0.2">
      <c r="A75" s="27"/>
      <c r="D75" s="150"/>
      <c r="E75" s="78"/>
      <c r="F75" s="232"/>
      <c r="G75" s="232"/>
      <c r="H75" s="150"/>
    </row>
    <row r="76" spans="1:8" x14ac:dyDescent="0.2">
      <c r="A76" s="27"/>
      <c r="D76" s="150"/>
      <c r="E76" s="78"/>
      <c r="F76" s="232"/>
      <c r="G76" s="232"/>
      <c r="H76" s="150"/>
    </row>
    <row r="77" spans="1:8" x14ac:dyDescent="0.2">
      <c r="A77" s="27"/>
      <c r="D77" s="150"/>
      <c r="E77" s="78"/>
      <c r="F77" s="232"/>
      <c r="G77" s="232"/>
      <c r="H77" s="150"/>
    </row>
    <row r="78" spans="1:8" x14ac:dyDescent="0.2">
      <c r="A78" s="27"/>
      <c r="D78" s="150"/>
      <c r="E78" s="78"/>
      <c r="F78" s="232"/>
      <c r="G78" s="232"/>
      <c r="H78" s="150"/>
    </row>
    <row r="79" spans="1:8" x14ac:dyDescent="0.2">
      <c r="A79" s="27"/>
      <c r="D79" s="150"/>
      <c r="E79" s="78"/>
      <c r="F79" s="232"/>
      <c r="G79" s="232"/>
      <c r="H79" s="150"/>
    </row>
    <row r="80" spans="1:8" x14ac:dyDescent="0.2">
      <c r="A80" s="27"/>
      <c r="D80" s="150"/>
      <c r="E80" s="150"/>
      <c r="F80" s="232"/>
      <c r="G80" s="150"/>
      <c r="H80" s="150"/>
    </row>
    <row r="81" spans="1:13" x14ac:dyDescent="0.2">
      <c r="A81" s="33"/>
      <c r="D81" s="150"/>
      <c r="E81" s="78"/>
      <c r="F81" s="232"/>
      <c r="G81" s="150"/>
      <c r="H81" s="150"/>
    </row>
    <row r="82" spans="1:13" x14ac:dyDescent="0.2">
      <c r="A82" s="33"/>
      <c r="D82" s="150"/>
      <c r="E82" s="78"/>
      <c r="F82" s="232"/>
      <c r="G82" s="150"/>
      <c r="H82" s="150"/>
    </row>
    <row r="83" spans="1:13" x14ac:dyDescent="0.2">
      <c r="D83" s="232"/>
      <c r="E83" s="78"/>
      <c r="F83" s="232"/>
      <c r="G83" s="150"/>
      <c r="H83" s="150"/>
    </row>
    <row r="84" spans="1:13" x14ac:dyDescent="0.2">
      <c r="D84" s="232"/>
      <c r="E84" s="78"/>
      <c r="F84" s="232"/>
      <c r="G84" s="150"/>
      <c r="H84" s="150"/>
    </row>
    <row r="85" spans="1:13" x14ac:dyDescent="0.2">
      <c r="D85" s="232"/>
      <c r="E85" s="78"/>
      <c r="F85" s="232"/>
      <c r="G85" s="150"/>
      <c r="H85" s="150"/>
    </row>
    <row r="86" spans="1:13" x14ac:dyDescent="0.2">
      <c r="D86" s="150"/>
      <c r="E86" s="78"/>
      <c r="F86" s="232"/>
      <c r="G86" s="150"/>
      <c r="H86" s="150"/>
      <c r="J86" s="6"/>
      <c r="M86" s="6"/>
    </row>
    <row r="87" spans="1:13" x14ac:dyDescent="0.2">
      <c r="D87" s="150"/>
      <c r="E87" s="78"/>
      <c r="F87" s="232"/>
      <c r="G87" s="150"/>
      <c r="H87" s="150"/>
      <c r="J87" s="6"/>
      <c r="M87" s="6"/>
    </row>
    <row r="88" spans="1:13" x14ac:dyDescent="0.2">
      <c r="D88" s="150"/>
      <c r="E88" s="229"/>
      <c r="F88" s="232"/>
      <c r="G88" s="150" t="s">
        <v>16</v>
      </c>
      <c r="H88" s="150"/>
      <c r="J88" s="7"/>
      <c r="M88" s="7"/>
    </row>
    <row r="89" spans="1:13" x14ac:dyDescent="0.2">
      <c r="D89" s="150"/>
      <c r="E89" s="78"/>
      <c r="F89" s="232"/>
      <c r="G89" s="150"/>
      <c r="H89" s="150"/>
      <c r="J89" s="7"/>
      <c r="M89" s="7"/>
    </row>
    <row r="90" spans="1:13" x14ac:dyDescent="0.2">
      <c r="D90" s="150"/>
      <c r="E90" s="229"/>
      <c r="F90" s="232"/>
      <c r="G90" s="150"/>
      <c r="H90" s="150"/>
    </row>
    <row r="91" spans="1:13" x14ac:dyDescent="0.2">
      <c r="D91" s="150"/>
      <c r="E91" s="229"/>
      <c r="F91" s="232"/>
      <c r="G91" s="150"/>
      <c r="H91" s="150"/>
      <c r="I91" t="s">
        <v>27</v>
      </c>
      <c r="L91" t="s">
        <v>50</v>
      </c>
    </row>
    <row r="92" spans="1:13" x14ac:dyDescent="0.2">
      <c r="D92" s="150"/>
      <c r="E92" s="78"/>
      <c r="F92" s="232"/>
      <c r="G92" s="232" t="s">
        <v>25</v>
      </c>
      <c r="H92" s="150"/>
    </row>
    <row r="93" spans="1:13" x14ac:dyDescent="0.2">
      <c r="D93" s="150"/>
      <c r="E93" s="78"/>
      <c r="F93" s="232"/>
      <c r="G93" s="232" t="s">
        <v>203</v>
      </c>
      <c r="H93" s="150"/>
    </row>
    <row r="94" spans="1:13" x14ac:dyDescent="0.2">
      <c r="D94" s="150"/>
      <c r="E94" s="78"/>
      <c r="F94" s="232"/>
      <c r="G94" s="232" t="s">
        <v>120</v>
      </c>
      <c r="H94" s="150"/>
    </row>
    <row r="95" spans="1:13" x14ac:dyDescent="0.2">
      <c r="D95" s="150"/>
      <c r="E95" s="78"/>
      <c r="F95" s="150"/>
      <c r="G95" s="232"/>
      <c r="H95" s="150"/>
    </row>
    <row r="96" spans="1:13" x14ac:dyDescent="0.2">
      <c r="D96" s="150"/>
      <c r="E96" s="78"/>
      <c r="F96" s="150"/>
      <c r="G96" s="232"/>
      <c r="H96" s="150"/>
    </row>
    <row r="97" spans="4:12" x14ac:dyDescent="0.2">
      <c r="D97" s="150"/>
      <c r="E97" s="78" t="s">
        <v>241</v>
      </c>
      <c r="F97" s="230">
        <f>IF('Design Calculator'!F55="YES", Equations!F68, Equations!F48)*'Device Parameters'!C39*1000/'Device Parameters'!E43*0.001</f>
        <v>6.3389830508474585</v>
      </c>
      <c r="G97" s="232" t="s">
        <v>8</v>
      </c>
      <c r="H97" s="150"/>
    </row>
    <row r="98" spans="4:12" x14ac:dyDescent="0.2">
      <c r="D98" s="150"/>
      <c r="E98" s="78" t="s">
        <v>9</v>
      </c>
      <c r="F98" s="230">
        <f>IF('Design Calculator'!F55="YES", Equations!F68, Equations!F48)*0.001*'Device Parameters'!D39*1000/'Device Parameters'!D43</f>
        <v>8.125</v>
      </c>
      <c r="G98" s="232" t="s">
        <v>8</v>
      </c>
      <c r="H98" s="150"/>
    </row>
    <row r="99" spans="4:12" x14ac:dyDescent="0.2">
      <c r="D99" s="150"/>
      <c r="E99" s="78" t="s">
        <v>242</v>
      </c>
      <c r="F99" s="230">
        <f>IF('Design Calculator'!F55="YES", Equations!F68, Equations!F48)*0.001*'Device Parameters'!E39*1000/'Device Parameters'!C43</f>
        <v>12.333333333333337</v>
      </c>
      <c r="G99" s="232" t="s">
        <v>8</v>
      </c>
      <c r="H99" s="150"/>
    </row>
    <row r="100" spans="4:12" x14ac:dyDescent="0.2">
      <c r="D100" s="150"/>
      <c r="E100" s="78" t="s">
        <v>243</v>
      </c>
      <c r="F100" s="150">
        <f>IF('Design Calculator'!F55="YES", Equations!F68, Equations!F48)*(H100+I100+J100)</f>
        <v>82.605714285714299</v>
      </c>
      <c r="G100" s="232" t="s">
        <v>8</v>
      </c>
      <c r="H100" s="150">
        <f>(('Device Parameters'!C39-'Device Parameters'!E40)/'Device Parameters'!E45)*7</f>
        <v>0.18200000000000002</v>
      </c>
      <c r="I100">
        <f>(('Device Parameters'!C39-'Device Parameters'!C40)/'Device Parameters'!D46)*8</f>
        <v>7.8285714285714301</v>
      </c>
      <c r="J100">
        <f>(('Device Parameters'!C40-'Device Parameters'!D41)/'Device Parameters'!D46)</f>
        <v>0.25</v>
      </c>
    </row>
    <row r="101" spans="4:12" x14ac:dyDescent="0.2">
      <c r="D101" s="150"/>
      <c r="E101" s="78" t="s">
        <v>10</v>
      </c>
      <c r="F101" s="150">
        <f>IF('Design Calculator'!F55="YES", Equations!F68, Equations!F48)*(H101+I101+J101)</f>
        <v>82.877142857142871</v>
      </c>
      <c r="G101" s="232" t="s">
        <v>8</v>
      </c>
      <c r="H101" s="150">
        <f>(('Device Parameters'!D39-'Device Parameters'!D40)/'Device Parameters'!D45)*7</f>
        <v>0.252</v>
      </c>
      <c r="I101">
        <f>(('Device Parameters'!D39-'Device Parameters'!D40)/'Device Parameters'!D46)*8</f>
        <v>7.7142857142857153</v>
      </c>
      <c r="J101">
        <f>(('Device Parameters'!D40-'Device Parameters'!D41)/'Device Parameters'!D46)</f>
        <v>0.3214285714285714</v>
      </c>
    </row>
    <row r="102" spans="4:12" x14ac:dyDescent="0.2">
      <c r="D102" s="150"/>
      <c r="E102" s="78" t="s">
        <v>263</v>
      </c>
      <c r="F102" s="150">
        <f>IF('Design Calculator'!F55="YES", Equations!F68, Equations!F48)*(H102+I102+J102)</f>
        <v>83.7959523809524</v>
      </c>
      <c r="G102" s="232" t="s">
        <v>8</v>
      </c>
      <c r="H102" s="150">
        <f>(('Device Parameters'!E39-'Device Parameters'!C40)/'Device Parameters'!C45)*7</f>
        <v>0.35816666666666669</v>
      </c>
      <c r="I102">
        <f>(('Device Parameters'!E39-'Device Parameters'!E40)/'Device Parameters'!D46)*8</f>
        <v>7.6285714285714299</v>
      </c>
      <c r="J102">
        <f>(('Device Parameters'!E40-'Device Parameters'!D41)/'Device Parameters'!D46)</f>
        <v>0.39285714285714285</v>
      </c>
    </row>
    <row r="103" spans="4:12" x14ac:dyDescent="0.2">
      <c r="D103" s="150"/>
      <c r="E103" s="78" t="s">
        <v>262</v>
      </c>
      <c r="F103" s="150">
        <f>(1+'Design Calculator'!F105/'Design Calculator'!F106)*'Device Parameters'!C51</f>
        <v>39.448934426229513</v>
      </c>
      <c r="G103" s="232"/>
      <c r="H103" s="150"/>
    </row>
    <row r="104" spans="4:12" x14ac:dyDescent="0.2">
      <c r="D104" s="150"/>
      <c r="E104" s="78" t="s">
        <v>261</v>
      </c>
      <c r="F104" s="150">
        <f>(1+'Design Calculator'!F105/'Design Calculator'!F106)*'Device Parameters'!D51</f>
        <v>40.267377049180332</v>
      </c>
      <c r="G104" s="232"/>
      <c r="H104" s="150"/>
    </row>
    <row r="105" spans="4:12" x14ac:dyDescent="0.2">
      <c r="D105" s="150"/>
      <c r="E105" s="78" t="s">
        <v>260</v>
      </c>
      <c r="F105" s="150">
        <f>(1+'Design Calculator'!F105/'Design Calculator'!F106)*'Device Parameters'!E51</f>
        <v>41.249508196721315</v>
      </c>
      <c r="G105" s="150"/>
      <c r="H105" s="150"/>
    </row>
    <row r="106" spans="4:12" x14ac:dyDescent="0.2">
      <c r="D106" s="150"/>
      <c r="E106" s="78" t="s">
        <v>264</v>
      </c>
      <c r="F106" s="150">
        <f>('Design Calculator'!F105*'Device Parameters'!C52)</f>
        <v>2250</v>
      </c>
      <c r="G106" s="150"/>
      <c r="H106" s="150"/>
    </row>
    <row r="107" spans="4:12" x14ac:dyDescent="0.2">
      <c r="D107" s="150"/>
      <c r="E107" s="78" t="s">
        <v>265</v>
      </c>
      <c r="F107" s="150">
        <f>('Design Calculator'!F105*'Device Parameters'!$D$52)</f>
        <v>3000</v>
      </c>
      <c r="G107" s="150"/>
      <c r="H107" s="150"/>
    </row>
    <row r="108" spans="4:12" x14ac:dyDescent="0.2">
      <c r="D108" s="150"/>
      <c r="E108" s="78" t="s">
        <v>266</v>
      </c>
      <c r="F108" s="150">
        <f>('Design Calculator'!F105*'Device Parameters'!$E$52)</f>
        <v>3750</v>
      </c>
      <c r="G108" s="150"/>
      <c r="H108" s="150"/>
    </row>
    <row r="109" spans="4:12" x14ac:dyDescent="0.2">
      <c r="D109" s="150"/>
      <c r="E109" s="78"/>
      <c r="F109" s="150"/>
      <c r="G109" s="150"/>
      <c r="H109" s="150"/>
    </row>
    <row r="110" spans="4:12" x14ac:dyDescent="0.2">
      <c r="D110" s="150"/>
      <c r="E110" s="78"/>
      <c r="F110" s="150"/>
      <c r="G110" s="150"/>
      <c r="H110" s="150"/>
    </row>
    <row r="111" spans="4:12" x14ac:dyDescent="0.2">
      <c r="D111" s="237"/>
      <c r="E111" s="150"/>
      <c r="F111" s="150"/>
      <c r="G111" s="150"/>
      <c r="H111" s="150"/>
      <c r="I111" t="s">
        <v>28</v>
      </c>
      <c r="L111" t="s">
        <v>51</v>
      </c>
    </row>
    <row r="112" spans="4:12" x14ac:dyDescent="0.2">
      <c r="D112" s="237"/>
      <c r="E112" s="150"/>
      <c r="F112" s="150"/>
      <c r="G112" s="150"/>
      <c r="H112" s="150"/>
      <c r="I112" t="s">
        <v>29</v>
      </c>
      <c r="L112" t="s">
        <v>52</v>
      </c>
    </row>
    <row r="113" spans="2:12" x14ac:dyDescent="0.2">
      <c r="D113" s="237"/>
      <c r="E113" s="150"/>
      <c r="F113" s="150"/>
      <c r="G113" s="150"/>
      <c r="H113" s="150"/>
      <c r="I113" t="s">
        <v>30</v>
      </c>
      <c r="L113" t="s">
        <v>53</v>
      </c>
    </row>
    <row r="114" spans="2:12" x14ac:dyDescent="0.2">
      <c r="D114" s="150"/>
      <c r="E114" s="150"/>
      <c r="F114" s="150"/>
      <c r="G114" s="150"/>
      <c r="H114" s="150"/>
    </row>
    <row r="115" spans="2:12" x14ac:dyDescent="0.2">
      <c r="D115" s="150"/>
      <c r="E115" s="150"/>
      <c r="F115" s="150"/>
      <c r="G115" s="150"/>
      <c r="H115" s="150"/>
    </row>
    <row r="116" spans="2:12" x14ac:dyDescent="0.2">
      <c r="D116" s="150"/>
      <c r="E116" s="229" t="s">
        <v>19</v>
      </c>
      <c r="F116" s="150"/>
      <c r="G116" s="150"/>
      <c r="H116" s="150"/>
    </row>
    <row r="117" spans="2:12" x14ac:dyDescent="0.2">
      <c r="D117" s="150"/>
      <c r="E117" s="229" t="s">
        <v>20</v>
      </c>
      <c r="F117" s="150"/>
      <c r="G117" s="150"/>
      <c r="H117" s="150"/>
    </row>
    <row r="118" spans="2:12" x14ac:dyDescent="0.2">
      <c r="D118" s="150"/>
      <c r="E118" s="229"/>
      <c r="F118" s="231" t="s">
        <v>25</v>
      </c>
      <c r="G118" s="231" t="s">
        <v>26</v>
      </c>
      <c r="H118" s="231" t="s">
        <v>449</v>
      </c>
      <c r="I118" s="224" t="s">
        <v>450</v>
      </c>
    </row>
    <row r="119" spans="2:12" x14ac:dyDescent="0.2">
      <c r="D119" s="150"/>
      <c r="E119" s="229" t="s">
        <v>33</v>
      </c>
      <c r="F119" s="238">
        <f>('Design Calculator'!F79-'Design Calculator'!F80)*1000/20</f>
        <v>150</v>
      </c>
      <c r="G119" s="238">
        <f>('Design Calculator'!F79-'Design Calculator'!F80)*1000/20</f>
        <v>150</v>
      </c>
      <c r="H119" s="150"/>
    </row>
    <row r="120" spans="2:12" x14ac:dyDescent="0.2">
      <c r="D120" s="150"/>
      <c r="E120" s="229" t="s">
        <v>32</v>
      </c>
      <c r="F120" s="238">
        <f>2.48*F119/('Design Calculator'!F80-2.48)-F121</f>
        <v>5.3292648311098487</v>
      </c>
      <c r="G120" s="238">
        <f>2.48*G119/('Design Calculator'!F80-2.48)</f>
        <v>11.43911439114391</v>
      </c>
      <c r="H120" s="150"/>
    </row>
    <row r="121" spans="2:12" x14ac:dyDescent="0.2">
      <c r="D121" s="150"/>
      <c r="E121" s="229" t="s">
        <v>31</v>
      </c>
      <c r="F121" s="238">
        <f>(F119*'Design Calculator'!F80*2.46)/('Design Calculator'!F81*('Design Calculator'!F80-2.48))</f>
        <v>6.1098495600340614</v>
      </c>
      <c r="G121" s="238">
        <f>('Design Calculator'!F81-'Design Calculator'!F82)*1000/21</f>
        <v>95.238095238095241</v>
      </c>
      <c r="H121" s="150"/>
    </row>
    <row r="122" spans="2:12" x14ac:dyDescent="0.2">
      <c r="D122" s="150"/>
      <c r="E122" s="229" t="s">
        <v>34</v>
      </c>
      <c r="F122" s="231"/>
      <c r="G122" s="238">
        <f>2.46*G121/('Design Calculator'!F81-2.46)</f>
        <v>3.7461738772899631</v>
      </c>
      <c r="H122" s="150"/>
    </row>
    <row r="123" spans="2:12" x14ac:dyDescent="0.2">
      <c r="B123" s="10"/>
      <c r="C123" s="11"/>
      <c r="D123" s="239"/>
      <c r="E123" s="12" t="s">
        <v>38</v>
      </c>
      <c r="F123" s="238">
        <f>2.41+('Design Calculator'!F87*((2.41/('Design Calculator'!F88+'Design Calculator'!F89))+(16/1000)))</f>
        <v>8.1112973533990669</v>
      </c>
      <c r="G123" s="238">
        <f>2.41+('Design Calculator'!F$87*((2.41/'Design Calculator'!F$88)+(16/1000)))</f>
        <v>38.399115646258508</v>
      </c>
      <c r="H123" s="150"/>
    </row>
    <row r="124" spans="2:12" x14ac:dyDescent="0.2">
      <c r="B124" s="13"/>
      <c r="C124" s="9"/>
      <c r="D124" s="240"/>
      <c r="E124" s="14" t="s">
        <v>39</v>
      </c>
      <c r="F124" s="238">
        <f>2.48+('Design Calculator'!F87*((2.48/('Design Calculator'!F88+'Design Calculator'!F89))+(20/1000)))</f>
        <v>9.0539491437467579</v>
      </c>
      <c r="G124" s="238">
        <f>2.48+('Design Calculator'!F$87*((2.48/'Design Calculator'!F$88)+(20/1000)))</f>
        <v>40.221496598639455</v>
      </c>
      <c r="H124" s="150"/>
    </row>
    <row r="125" spans="2:12" x14ac:dyDescent="0.2">
      <c r="B125" s="15"/>
      <c r="C125" s="16"/>
      <c r="D125" s="241"/>
      <c r="E125" s="17" t="s">
        <v>40</v>
      </c>
      <c r="F125" s="238">
        <f>2.55+('Design Calculator'!F87*((2.55/('Design Calculator'!F88+'Design Calculator'!F89))+(24/1000)))</f>
        <v>9.9966009340944453</v>
      </c>
      <c r="G125" s="238">
        <f>2.55+('Design Calculator'!F$87*((2.55/'Design Calculator'!F$88)+(24/1000)))</f>
        <v>42.043877551020401</v>
      </c>
      <c r="H125" s="150"/>
    </row>
    <row r="126" spans="2:12" x14ac:dyDescent="0.2">
      <c r="D126" s="150"/>
      <c r="E126" s="3" t="s">
        <v>41</v>
      </c>
      <c r="F126" s="238">
        <f>2.41*('Design Calculator'!F87+'Design Calculator'!F88+'Design Calculator'!F89)/('Design Calculator'!F88+'Design Calculator'!F89)</f>
        <v>4.9112973533990667</v>
      </c>
      <c r="G126" s="238">
        <f>2.41*('Design Calculator'!F$87+'Design Calculator'!F$88)/'Design Calculator'!F$88</f>
        <v>35.199115646258505</v>
      </c>
      <c r="H126" s="150"/>
    </row>
    <row r="127" spans="2:12" x14ac:dyDescent="0.2">
      <c r="D127" s="150"/>
      <c r="E127" s="3" t="s">
        <v>42</v>
      </c>
      <c r="F127" s="238">
        <f>2.48*('Design Calculator'!F87+'Design Calculator'!F88+'Design Calculator'!F89)/('Design Calculator'!F88+'Design Calculator'!F89)</f>
        <v>5.053949143746757</v>
      </c>
      <c r="G127" s="238">
        <f>2.48*('Design Calculator'!F$87+'Design Calculator'!F$88)/'Design Calculator'!F$88</f>
        <v>36.221496598639462</v>
      </c>
      <c r="H127" s="150"/>
    </row>
    <row r="128" spans="2:12" x14ac:dyDescent="0.2">
      <c r="D128" s="150"/>
      <c r="E128" s="3" t="s">
        <v>43</v>
      </c>
      <c r="F128" s="238">
        <f>2.55*('Design Calculator'!F87+'Design Calculator'!F88+'Design Calculator'!F89)/('Design Calculator'!F88+'Design Calculator'!F89)</f>
        <v>5.1966009340944472</v>
      </c>
      <c r="G128" s="238">
        <f>2.55*('Design Calculator'!F$87+'Design Calculator'!F$88)/'Design Calculator'!F$88</f>
        <v>37.243877551020404</v>
      </c>
      <c r="H128" s="150"/>
    </row>
    <row r="129" spans="2:8" x14ac:dyDescent="0.2">
      <c r="B129" s="10"/>
      <c r="C129" s="11"/>
      <c r="D129" s="239"/>
      <c r="E129" s="12" t="s">
        <v>44</v>
      </c>
      <c r="F129" s="238">
        <f>2.39*('Design Calculator'!F87+'Design Calculator'!F88+'Design Calculator'!F89)/'Design Calculator'!F89</f>
        <v>5.2727696629213483</v>
      </c>
      <c r="G129" s="238">
        <f>2.39*('Design Calculator'!F$89+'Design Calculator'!F$90)/'Design Calculator'!F$90</f>
        <v>56.445908513341806</v>
      </c>
      <c r="H129" s="150"/>
    </row>
    <row r="130" spans="2:8" x14ac:dyDescent="0.2">
      <c r="B130" s="13"/>
      <c r="C130" s="9"/>
      <c r="D130" s="240"/>
      <c r="E130" s="14" t="s">
        <v>45</v>
      </c>
      <c r="F130" s="238">
        <f>2.46*('Design Calculator'!F$87+'Design Calculator'!F$88+'Design Calculator'!F$89)/'Design Calculator'!F$89</f>
        <v>5.4272022471910111</v>
      </c>
      <c r="G130" s="238">
        <f>2.46*('Design Calculator'!F$89+'Design Calculator'!F$90)/'Design Calculator'!F$90</f>
        <v>58.099135959339264</v>
      </c>
      <c r="H130" s="150"/>
    </row>
    <row r="131" spans="2:8" x14ac:dyDescent="0.2">
      <c r="B131" s="15"/>
      <c r="C131" s="16"/>
      <c r="D131" s="241"/>
      <c r="E131" s="17" t="s">
        <v>46</v>
      </c>
      <c r="F131" s="238">
        <f>2.53*('Design Calculator'!F$87+'Design Calculator'!F$88+'Design Calculator'!F$89)/'Design Calculator'!F$89</f>
        <v>5.5816348314606739</v>
      </c>
      <c r="G131" s="238">
        <f>2.53*('Design Calculator'!F$89+'Design Calculator'!F$90)/'Design Calculator'!F$90</f>
        <v>59.752363405336716</v>
      </c>
      <c r="H131" s="150"/>
    </row>
    <row r="132" spans="2:8" x14ac:dyDescent="0.2">
      <c r="D132" s="150"/>
      <c r="E132" s="3" t="s">
        <v>47</v>
      </c>
      <c r="F132" s="238">
        <f>2.39+(('Design Calculator'!F$87+'Design Calculator'!F$88)*((2.39/'Design Calculator'!F$89)-(24/1000)))</f>
        <v>0.1199696629213487</v>
      </c>
      <c r="G132" s="238">
        <f>2.39+('Design Calculator'!F$89*((2.39/'Design Calculator'!F$90)-(24/1000)))</f>
        <v>52.173908513341807</v>
      </c>
      <c r="H132" s="150"/>
    </row>
    <row r="133" spans="2:8" x14ac:dyDescent="0.2">
      <c r="D133" s="150"/>
      <c r="E133" s="3" t="s">
        <v>48</v>
      </c>
      <c r="F133" s="238">
        <f>2.46+(('Design Calculator'!F$87+'Design Calculator'!F$88)*((2.46/'Design Calculator'!F$89)-(21/1000)))</f>
        <v>0.91850224719101092</v>
      </c>
      <c r="G133" s="238">
        <f>2.46+('Design Calculator'!F$89*((2.46/'Design Calculator'!F$90)-(21/1000)))</f>
        <v>54.361135959339265</v>
      </c>
      <c r="H133" s="150"/>
    </row>
    <row r="134" spans="2:8" x14ac:dyDescent="0.2">
      <c r="D134" s="150"/>
      <c r="E134" s="3" t="s">
        <v>49</v>
      </c>
      <c r="F134" s="238">
        <f>2.53+(('Design Calculator'!F$87+'Design Calculator'!F$88)*((2.53/'Design Calculator'!F$89)-(16/1000)))</f>
        <v>2.1464348314606734</v>
      </c>
      <c r="G134" s="238">
        <f>2.53+('Design Calculator'!F$89*((2.53/'Design Calculator'!F$90)-(16/1000)))</f>
        <v>56.90436340533671</v>
      </c>
      <c r="H134" s="150"/>
    </row>
    <row r="135" spans="2:8" x14ac:dyDescent="0.2">
      <c r="D135" s="150"/>
      <c r="E135" s="150"/>
      <c r="F135" s="150"/>
      <c r="G135" s="150"/>
      <c r="H135" s="150"/>
    </row>
    <row r="136" spans="2:8" x14ac:dyDescent="0.2">
      <c r="D136" s="150"/>
      <c r="E136" s="150"/>
      <c r="F136" s="150"/>
      <c r="G136" s="150"/>
      <c r="H136" s="150"/>
    </row>
    <row r="137" spans="2:8" x14ac:dyDescent="0.2">
      <c r="D137" s="150"/>
      <c r="E137" s="150"/>
      <c r="F137" s="150"/>
      <c r="G137" s="150"/>
      <c r="H137" s="150"/>
    </row>
    <row r="138" spans="2:8" x14ac:dyDescent="0.2">
      <c r="D138" s="150"/>
      <c r="E138" s="150"/>
      <c r="F138" s="150"/>
      <c r="G138" s="150"/>
      <c r="H138" s="150"/>
    </row>
    <row r="139" spans="2:8" x14ac:dyDescent="0.2">
      <c r="D139" s="150"/>
      <c r="E139" s="150"/>
      <c r="F139" s="150"/>
      <c r="G139" s="150"/>
      <c r="H139" s="150"/>
    </row>
    <row r="140" spans="2:8" x14ac:dyDescent="0.2">
      <c r="D140" s="150"/>
      <c r="E140" s="150"/>
      <c r="F140" s="150"/>
      <c r="G140" s="150"/>
      <c r="H140" s="150"/>
    </row>
    <row r="141" spans="2:8" x14ac:dyDescent="0.2">
      <c r="D141" s="150"/>
      <c r="E141" s="150"/>
      <c r="F141" s="150"/>
      <c r="G141" s="150"/>
      <c r="H141" s="150"/>
    </row>
    <row r="142" spans="2:8" x14ac:dyDescent="0.2">
      <c r="D142" s="150"/>
      <c r="E142" s="78" t="s">
        <v>117</v>
      </c>
      <c r="F142" s="232" t="e">
        <f>'Design Calculator'!#REF!</f>
        <v>#REF!</v>
      </c>
      <c r="G142" s="232" t="s">
        <v>8</v>
      </c>
      <c r="H142" s="150"/>
    </row>
    <row r="143" spans="2:8" x14ac:dyDescent="0.2">
      <c r="D143" s="150"/>
      <c r="E143" s="78" t="s">
        <v>118</v>
      </c>
      <c r="F143" s="232">
        <f>'Design Calculator'!F15</f>
        <v>54</v>
      </c>
      <c r="G143" s="232" t="s">
        <v>86</v>
      </c>
      <c r="H143" s="150"/>
    </row>
    <row r="144" spans="2:8" x14ac:dyDescent="0.2">
      <c r="D144" s="150"/>
      <c r="E144" s="78" t="s">
        <v>119</v>
      </c>
      <c r="F144" s="150" t="e">
        <f>22/F143*F142</f>
        <v>#REF!</v>
      </c>
      <c r="G144" s="232" t="s">
        <v>120</v>
      </c>
      <c r="H144" s="150"/>
    </row>
    <row r="145" spans="4:8" x14ac:dyDescent="0.2">
      <c r="D145" s="150"/>
      <c r="E145" s="150"/>
      <c r="F145" s="150"/>
      <c r="G145" s="150"/>
      <c r="H145" s="150"/>
    </row>
    <row r="146" spans="4:8" x14ac:dyDescent="0.2">
      <c r="D146" s="150"/>
      <c r="E146" s="150"/>
      <c r="F146" s="150"/>
      <c r="G146" s="150"/>
      <c r="H146" s="150"/>
    </row>
    <row r="147" spans="4:8" x14ac:dyDescent="0.2">
      <c r="D147" s="150"/>
      <c r="E147" s="150"/>
      <c r="F147" s="150"/>
      <c r="G147" s="150"/>
      <c r="H147" s="150"/>
    </row>
    <row r="148" spans="4:8" x14ac:dyDescent="0.2">
      <c r="D148" s="150"/>
      <c r="E148" s="150"/>
      <c r="F148" s="150"/>
      <c r="G148" s="150"/>
      <c r="H148" s="150"/>
    </row>
    <row r="149" spans="4:8" x14ac:dyDescent="0.2">
      <c r="D149" s="150"/>
      <c r="E149" s="150"/>
      <c r="F149" s="150"/>
      <c r="G149" s="150"/>
      <c r="H149" s="150"/>
    </row>
    <row r="150" spans="4:8" x14ac:dyDescent="0.2">
      <c r="D150" s="150"/>
      <c r="E150" s="150"/>
      <c r="F150" s="150"/>
      <c r="G150" s="150"/>
      <c r="H150" s="150"/>
    </row>
    <row r="151" spans="4:8" x14ac:dyDescent="0.2">
      <c r="D151" s="150"/>
      <c r="E151" s="150"/>
      <c r="F151" s="150"/>
      <c r="G151" s="150"/>
      <c r="H151" s="150"/>
    </row>
    <row r="152" spans="4:8" x14ac:dyDescent="0.2">
      <c r="D152" s="150"/>
      <c r="E152" s="150"/>
      <c r="F152" s="150"/>
      <c r="G152" s="150"/>
      <c r="H152" s="150"/>
    </row>
    <row r="153" spans="4:8" x14ac:dyDescent="0.2">
      <c r="D153" s="150"/>
      <c r="E153" s="150"/>
      <c r="F153" s="150"/>
      <c r="G153" s="150"/>
      <c r="H153" s="150"/>
    </row>
    <row r="154" spans="4:8" x14ac:dyDescent="0.2">
      <c r="D154" s="150"/>
      <c r="E154" s="150"/>
      <c r="F154" s="150"/>
      <c r="G154" s="150"/>
      <c r="H154" s="150"/>
    </row>
    <row r="155" spans="4:8" x14ac:dyDescent="0.2">
      <c r="D155" s="150"/>
      <c r="E155" s="150"/>
      <c r="F155" s="150"/>
      <c r="G155" s="150"/>
      <c r="H155" s="150"/>
    </row>
    <row r="156" spans="4:8" x14ac:dyDescent="0.2">
      <c r="D156" s="150"/>
      <c r="E156" s="150"/>
      <c r="F156" s="150"/>
      <c r="G156" s="150"/>
      <c r="H156" s="150"/>
    </row>
    <row r="157" spans="4:8" x14ac:dyDescent="0.2">
      <c r="D157" s="150"/>
      <c r="E157" s="150"/>
      <c r="F157" s="150"/>
      <c r="G157" s="150"/>
      <c r="H157" s="150"/>
    </row>
    <row r="158" spans="4:8" x14ac:dyDescent="0.2">
      <c r="D158" s="150"/>
      <c r="E158" s="150"/>
      <c r="F158" s="150"/>
      <c r="G158" s="150"/>
      <c r="H158" s="150"/>
    </row>
    <row r="159" spans="4:8" x14ac:dyDescent="0.2">
      <c r="D159" s="150"/>
      <c r="E159" s="150"/>
      <c r="F159" s="150"/>
      <c r="G159" s="150"/>
      <c r="H159" s="150"/>
    </row>
    <row r="160" spans="4:8" x14ac:dyDescent="0.2">
      <c r="D160" s="150"/>
      <c r="E160" s="150"/>
      <c r="F160" s="150"/>
      <c r="G160" s="150"/>
      <c r="H160" s="150"/>
    </row>
    <row r="161" spans="3:25" x14ac:dyDescent="0.2">
      <c r="D161" s="150"/>
      <c r="E161" s="150"/>
      <c r="F161" s="150"/>
      <c r="G161" s="150"/>
      <c r="H161" s="150"/>
    </row>
    <row r="162" spans="3:25" x14ac:dyDescent="0.2">
      <c r="D162" s="150"/>
      <c r="E162" s="150"/>
      <c r="F162" s="150"/>
      <c r="G162" s="150"/>
      <c r="H162" s="150"/>
    </row>
    <row r="165" spans="3:25" x14ac:dyDescent="0.2">
      <c r="C165" s="27" t="s">
        <v>56</v>
      </c>
    </row>
    <row r="166" spans="3:25" x14ac:dyDescent="0.2">
      <c r="E166" s="2" t="s">
        <v>57</v>
      </c>
      <c r="F166" s="1">
        <f>'Design Calculator'!F23</f>
        <v>1</v>
      </c>
    </row>
    <row r="167" spans="3:25" ht="15.75" x14ac:dyDescent="0.3">
      <c r="E167" s="2" t="s">
        <v>58</v>
      </c>
      <c r="F167" s="1">
        <f>'Design Calculator'!F50</f>
        <v>28.7</v>
      </c>
    </row>
    <row r="168" spans="3:25" x14ac:dyDescent="0.2">
      <c r="E168" s="2" t="s">
        <v>59</v>
      </c>
      <c r="F168" s="1">
        <f>'Design Calculator'!F16</f>
        <v>60</v>
      </c>
    </row>
    <row r="170" spans="3:25" x14ac:dyDescent="0.2">
      <c r="E170" s="2" t="s">
        <v>60</v>
      </c>
      <c r="F170" s="18">
        <f>F13</f>
        <v>45</v>
      </c>
    </row>
    <row r="171" spans="3:25" x14ac:dyDescent="0.2">
      <c r="E171" s="2" t="s">
        <v>61</v>
      </c>
      <c r="F171" s="18">
        <f>F14</f>
        <v>50</v>
      </c>
    </row>
    <row r="172" spans="3:25" x14ac:dyDescent="0.2">
      <c r="E172" s="2" t="s">
        <v>62</v>
      </c>
      <c r="F172" s="18">
        <f>F15</f>
        <v>55</v>
      </c>
    </row>
    <row r="174" spans="3:25" x14ac:dyDescent="0.2">
      <c r="E174" s="2" t="s">
        <v>63</v>
      </c>
      <c r="F174" s="6">
        <f>F37</f>
        <v>185.364</v>
      </c>
    </row>
    <row r="175" spans="3:25" x14ac:dyDescent="0.2">
      <c r="E175" s="2" t="s">
        <v>64</v>
      </c>
      <c r="F175" s="6">
        <f>F38</f>
        <v>243.9</v>
      </c>
      <c r="Y175" s="33" t="s">
        <v>87</v>
      </c>
    </row>
    <row r="176" spans="3:25" x14ac:dyDescent="0.2">
      <c r="E176" s="2" t="s">
        <v>65</v>
      </c>
      <c r="F176" s="6">
        <f>F39</f>
        <v>302.43599999999998</v>
      </c>
    </row>
    <row r="181" spans="2:24" x14ac:dyDescent="0.2">
      <c r="D181" t="s">
        <v>66</v>
      </c>
      <c r="E181" s="2"/>
      <c r="I181" t="s">
        <v>67</v>
      </c>
      <c r="N181" t="s">
        <v>82</v>
      </c>
      <c r="R181" s="33" t="s">
        <v>88</v>
      </c>
    </row>
    <row r="182" spans="2:24" x14ac:dyDescent="0.2">
      <c r="D182" t="s">
        <v>68</v>
      </c>
      <c r="I182" t="s">
        <v>69</v>
      </c>
      <c r="N182" t="s">
        <v>74</v>
      </c>
      <c r="R182" s="33" t="s">
        <v>89</v>
      </c>
    </row>
    <row r="183" spans="2:24" x14ac:dyDescent="0.2">
      <c r="B183" s="33" t="s">
        <v>146</v>
      </c>
      <c r="D183" s="5" t="s">
        <v>70</v>
      </c>
      <c r="E183" s="5" t="s">
        <v>71</v>
      </c>
      <c r="F183" s="158" t="s">
        <v>72</v>
      </c>
      <c r="G183" s="5" t="s">
        <v>73</v>
      </c>
      <c r="I183" s="5" t="s">
        <v>70</v>
      </c>
      <c r="J183" s="5" t="s">
        <v>71</v>
      </c>
      <c r="K183" s="5" t="s">
        <v>72</v>
      </c>
      <c r="L183" s="5" t="s">
        <v>73</v>
      </c>
      <c r="N183" t="s">
        <v>75</v>
      </c>
      <c r="R183" s="5" t="s">
        <v>70</v>
      </c>
      <c r="S183" s="26" t="s">
        <v>71</v>
      </c>
      <c r="T183" s="26" t="s">
        <v>72</v>
      </c>
      <c r="U183" s="26" t="s">
        <v>73</v>
      </c>
      <c r="V183" s="170" t="s">
        <v>81</v>
      </c>
      <c r="X183" s="171" t="s">
        <v>329</v>
      </c>
    </row>
    <row r="184" spans="2:24" x14ac:dyDescent="0.2">
      <c r="B184">
        <f>D184*F184</f>
        <v>184.9</v>
      </c>
      <c r="D184" s="5">
        <v>1</v>
      </c>
      <c r="E184" s="28">
        <f t="shared" ref="E184:E200" si="0">(1-$F$271)*F184</f>
        <v>138.67500000000001</v>
      </c>
      <c r="F184" s="28">
        <f t="shared" ref="F184:F215" si="1">($F$175+(D184-VINMAX)*$E$268/$E$269)/D184</f>
        <v>184.9</v>
      </c>
      <c r="G184" s="28">
        <f t="shared" ref="G184:G200" si="2">F184*(1+$F$271)</f>
        <v>231.125</v>
      </c>
      <c r="I184" s="5">
        <v>1</v>
      </c>
      <c r="J184" s="28">
        <f t="shared" ref="J184:J200" si="3">IF(E184&gt;$F$170,$F$170,E184)</f>
        <v>45</v>
      </c>
      <c r="K184" s="28">
        <f t="shared" ref="K184:K200" si="4">IF(F184&gt;$F$171,$F$171,F184)</f>
        <v>50</v>
      </c>
      <c r="L184" s="28">
        <f t="shared" ref="L184:L200" si="5">IF(G184&gt;$F$172,$F$172,G184)</f>
        <v>55</v>
      </c>
      <c r="N184" t="s">
        <v>76</v>
      </c>
      <c r="R184" s="5">
        <v>1</v>
      </c>
      <c r="S184" s="28">
        <f t="shared" ref="S184:S200" si="6">IF($R184&gt;$F$168,0.0000000005,J184)</f>
        <v>45</v>
      </c>
      <c r="T184" s="28">
        <f t="shared" ref="T184:T200" si="7">IF($R184&gt;$F$168,0.0000000005,K184)</f>
        <v>50</v>
      </c>
      <c r="U184" s="28">
        <f t="shared" ref="U184:U200" si="8">IF($R184&gt;$F$168,0.0000000005,L184)</f>
        <v>55</v>
      </c>
      <c r="V184" s="28">
        <f t="shared" ref="V184:V200" si="9">$X$184/R184</f>
        <v>420.02582090709075</v>
      </c>
      <c r="X184">
        <f>SOA!C26</f>
        <v>420.02582090709075</v>
      </c>
    </row>
    <row r="185" spans="2:24" x14ac:dyDescent="0.2">
      <c r="B185">
        <f t="shared" ref="B185:B248" si="10">D185*F185</f>
        <v>185.9</v>
      </c>
      <c r="D185" s="5">
        <v>2</v>
      </c>
      <c r="E185" s="28">
        <f t="shared" si="0"/>
        <v>69.712500000000006</v>
      </c>
      <c r="F185" s="28">
        <f t="shared" si="1"/>
        <v>92.95</v>
      </c>
      <c r="G185" s="28">
        <f t="shared" si="2"/>
        <v>116.1875</v>
      </c>
      <c r="I185" s="5">
        <v>2</v>
      </c>
      <c r="J185" s="28">
        <f t="shared" si="3"/>
        <v>45</v>
      </c>
      <c r="K185" s="28">
        <f t="shared" si="4"/>
        <v>50</v>
      </c>
      <c r="L185" s="28">
        <f t="shared" si="5"/>
        <v>55</v>
      </c>
      <c r="R185" s="5">
        <v>2</v>
      </c>
      <c r="S185" s="28">
        <f t="shared" si="6"/>
        <v>45</v>
      </c>
      <c r="T185" s="28">
        <f t="shared" si="7"/>
        <v>50</v>
      </c>
      <c r="U185" s="28">
        <f t="shared" si="8"/>
        <v>55</v>
      </c>
      <c r="V185" s="28">
        <f t="shared" si="9"/>
        <v>210.01291045354537</v>
      </c>
    </row>
    <row r="186" spans="2:24" x14ac:dyDescent="0.2">
      <c r="B186">
        <f t="shared" si="10"/>
        <v>186.9</v>
      </c>
      <c r="D186" s="5">
        <v>3</v>
      </c>
      <c r="E186" s="28">
        <f t="shared" si="0"/>
        <v>46.725000000000001</v>
      </c>
      <c r="F186" s="28">
        <f t="shared" si="1"/>
        <v>62.300000000000004</v>
      </c>
      <c r="G186" s="28">
        <f t="shared" si="2"/>
        <v>77.875</v>
      </c>
      <c r="I186" s="5">
        <v>3</v>
      </c>
      <c r="J186" s="28">
        <f t="shared" si="3"/>
        <v>45</v>
      </c>
      <c r="K186" s="28">
        <f t="shared" si="4"/>
        <v>50</v>
      </c>
      <c r="L186" s="28">
        <f t="shared" si="5"/>
        <v>55</v>
      </c>
      <c r="O186" s="29" t="s">
        <v>77</v>
      </c>
      <c r="R186" s="5">
        <v>3</v>
      </c>
      <c r="S186" s="28">
        <f t="shared" si="6"/>
        <v>45</v>
      </c>
      <c r="T186" s="28">
        <f t="shared" si="7"/>
        <v>50</v>
      </c>
      <c r="U186" s="28">
        <f t="shared" si="8"/>
        <v>55</v>
      </c>
      <c r="V186" s="28">
        <f t="shared" si="9"/>
        <v>140.00860696903024</v>
      </c>
    </row>
    <row r="187" spans="2:24" x14ac:dyDescent="0.2">
      <c r="B187">
        <f t="shared" si="10"/>
        <v>187.9</v>
      </c>
      <c r="D187" s="5">
        <v>4</v>
      </c>
      <c r="E187" s="28">
        <f t="shared" si="0"/>
        <v>35.231250000000003</v>
      </c>
      <c r="F187" s="28">
        <f t="shared" si="1"/>
        <v>46.975000000000001</v>
      </c>
      <c r="G187" s="28">
        <f t="shared" si="2"/>
        <v>58.71875</v>
      </c>
      <c r="I187" s="5">
        <v>4</v>
      </c>
      <c r="J187" s="28">
        <f t="shared" si="3"/>
        <v>35.231250000000003</v>
      </c>
      <c r="K187" s="28">
        <f t="shared" si="4"/>
        <v>46.975000000000001</v>
      </c>
      <c r="L187" s="28">
        <f t="shared" si="5"/>
        <v>55</v>
      </c>
      <c r="N187" s="8" t="s">
        <v>70</v>
      </c>
      <c r="O187" s="30" t="s">
        <v>78</v>
      </c>
      <c r="R187" s="5">
        <v>4</v>
      </c>
      <c r="S187" s="28">
        <f t="shared" si="6"/>
        <v>35.231250000000003</v>
      </c>
      <c r="T187" s="28">
        <f t="shared" si="7"/>
        <v>46.975000000000001</v>
      </c>
      <c r="U187" s="28">
        <f t="shared" si="8"/>
        <v>55</v>
      </c>
      <c r="V187" s="28">
        <f t="shared" si="9"/>
        <v>105.00645522677269</v>
      </c>
    </row>
    <row r="188" spans="2:24" x14ac:dyDescent="0.2">
      <c r="B188">
        <f t="shared" si="10"/>
        <v>188.9</v>
      </c>
      <c r="D188" s="5">
        <v>5</v>
      </c>
      <c r="E188" s="28">
        <f t="shared" si="0"/>
        <v>28.335000000000001</v>
      </c>
      <c r="F188" s="28">
        <f t="shared" si="1"/>
        <v>37.78</v>
      </c>
      <c r="G188" s="28">
        <f t="shared" si="2"/>
        <v>47.225000000000001</v>
      </c>
      <c r="I188" s="5">
        <v>5</v>
      </c>
      <c r="J188" s="28">
        <f t="shared" si="3"/>
        <v>28.335000000000001</v>
      </c>
      <c r="K188" s="28">
        <f t="shared" si="4"/>
        <v>37.78</v>
      </c>
      <c r="L188" s="28">
        <f t="shared" si="5"/>
        <v>47.225000000000001</v>
      </c>
      <c r="N188" s="5">
        <v>1</v>
      </c>
      <c r="O188" s="5" t="e">
        <f>#REF!</f>
        <v>#REF!</v>
      </c>
      <c r="P188" t="s">
        <v>79</v>
      </c>
      <c r="R188" s="5">
        <v>5</v>
      </c>
      <c r="S188" s="28">
        <f t="shared" si="6"/>
        <v>28.335000000000001</v>
      </c>
      <c r="T188" s="28">
        <f t="shared" si="7"/>
        <v>37.78</v>
      </c>
      <c r="U188" s="28">
        <f t="shared" si="8"/>
        <v>47.225000000000001</v>
      </c>
      <c r="V188" s="28">
        <f t="shared" si="9"/>
        <v>84.005164181418152</v>
      </c>
    </row>
    <row r="189" spans="2:24" x14ac:dyDescent="0.2">
      <c r="B189">
        <f t="shared" si="10"/>
        <v>189.9</v>
      </c>
      <c r="D189" s="5">
        <v>6</v>
      </c>
      <c r="E189" s="28">
        <f t="shared" si="0"/>
        <v>23.737500000000001</v>
      </c>
      <c r="F189" s="28">
        <f t="shared" si="1"/>
        <v>31.650000000000002</v>
      </c>
      <c r="G189" s="28">
        <f t="shared" si="2"/>
        <v>39.5625</v>
      </c>
      <c r="I189" s="5">
        <v>6</v>
      </c>
      <c r="J189" s="28">
        <f t="shared" si="3"/>
        <v>23.737500000000001</v>
      </c>
      <c r="K189" s="28">
        <f t="shared" si="4"/>
        <v>31.650000000000002</v>
      </c>
      <c r="L189" s="28">
        <f t="shared" si="5"/>
        <v>39.5625</v>
      </c>
      <c r="N189" s="5">
        <v>2</v>
      </c>
      <c r="O189" s="28" t="e">
        <f>O192+((O188-O192)*3/7)</f>
        <v>#REF!</v>
      </c>
      <c r="R189" s="5">
        <v>6</v>
      </c>
      <c r="S189" s="28">
        <f t="shared" si="6"/>
        <v>23.737500000000001</v>
      </c>
      <c r="T189" s="28">
        <f t="shared" si="7"/>
        <v>31.650000000000002</v>
      </c>
      <c r="U189" s="28">
        <f t="shared" si="8"/>
        <v>39.5625</v>
      </c>
      <c r="V189" s="28">
        <f t="shared" si="9"/>
        <v>70.00430348451512</v>
      </c>
    </row>
    <row r="190" spans="2:24" x14ac:dyDescent="0.2">
      <c r="B190">
        <f t="shared" si="10"/>
        <v>190.9</v>
      </c>
      <c r="D190" s="5">
        <v>7</v>
      </c>
      <c r="E190" s="28">
        <f t="shared" si="0"/>
        <v>20.453571428571429</v>
      </c>
      <c r="F190" s="28">
        <f t="shared" si="1"/>
        <v>27.271428571428572</v>
      </c>
      <c r="G190" s="28">
        <f t="shared" si="2"/>
        <v>34.089285714285715</v>
      </c>
      <c r="I190" s="5">
        <v>7</v>
      </c>
      <c r="J190" s="28">
        <f t="shared" si="3"/>
        <v>20.453571428571429</v>
      </c>
      <c r="K190" s="28">
        <f t="shared" si="4"/>
        <v>27.271428571428572</v>
      </c>
      <c r="L190" s="28">
        <f t="shared" si="5"/>
        <v>34.089285714285715</v>
      </c>
      <c r="N190" s="5">
        <v>3</v>
      </c>
      <c r="O190" s="28" t="e">
        <f>O192+((O188-O192)*2/8)</f>
        <v>#REF!</v>
      </c>
      <c r="R190" s="5">
        <v>7</v>
      </c>
      <c r="S190" s="28">
        <f t="shared" si="6"/>
        <v>20.453571428571429</v>
      </c>
      <c r="T190" s="28">
        <f t="shared" si="7"/>
        <v>27.271428571428572</v>
      </c>
      <c r="U190" s="28">
        <f t="shared" si="8"/>
        <v>34.089285714285715</v>
      </c>
      <c r="V190" s="28">
        <f t="shared" si="9"/>
        <v>60.003688701012962</v>
      </c>
    </row>
    <row r="191" spans="2:24" x14ac:dyDescent="0.2">
      <c r="B191">
        <f t="shared" si="10"/>
        <v>191.9</v>
      </c>
      <c r="D191" s="5">
        <v>8</v>
      </c>
      <c r="E191" s="28">
        <f t="shared" si="0"/>
        <v>17.990625000000001</v>
      </c>
      <c r="F191" s="28">
        <f t="shared" si="1"/>
        <v>23.987500000000001</v>
      </c>
      <c r="G191" s="28">
        <f t="shared" si="2"/>
        <v>29.984375</v>
      </c>
      <c r="I191" s="5">
        <v>8</v>
      </c>
      <c r="J191" s="28">
        <f t="shared" si="3"/>
        <v>17.990625000000001</v>
      </c>
      <c r="K191" s="28">
        <f t="shared" si="4"/>
        <v>23.987500000000001</v>
      </c>
      <c r="L191" s="28">
        <f t="shared" si="5"/>
        <v>29.984375</v>
      </c>
      <c r="N191" s="5">
        <v>4</v>
      </c>
      <c r="O191" s="28" t="e">
        <f>O192+((O188-O192)*1/9)</f>
        <v>#REF!</v>
      </c>
      <c r="R191" s="5">
        <v>8</v>
      </c>
      <c r="S191" s="28">
        <f t="shared" si="6"/>
        <v>17.990625000000001</v>
      </c>
      <c r="T191" s="28">
        <f t="shared" si="7"/>
        <v>23.987500000000001</v>
      </c>
      <c r="U191" s="28">
        <f t="shared" si="8"/>
        <v>29.984375</v>
      </c>
      <c r="V191" s="28">
        <f t="shared" si="9"/>
        <v>52.503227613386343</v>
      </c>
    </row>
    <row r="192" spans="2:24" x14ac:dyDescent="0.2">
      <c r="B192">
        <f t="shared" si="10"/>
        <v>192.9</v>
      </c>
      <c r="D192" s="5">
        <v>9</v>
      </c>
      <c r="E192" s="28">
        <f t="shared" si="0"/>
        <v>16.074999999999999</v>
      </c>
      <c r="F192" s="28">
        <f t="shared" si="1"/>
        <v>21.433333333333334</v>
      </c>
      <c r="G192" s="28">
        <f t="shared" si="2"/>
        <v>26.791666666666668</v>
      </c>
      <c r="I192" s="5">
        <v>9</v>
      </c>
      <c r="J192" s="28">
        <f t="shared" si="3"/>
        <v>16.074999999999999</v>
      </c>
      <c r="K192" s="28">
        <f t="shared" si="4"/>
        <v>21.433333333333334</v>
      </c>
      <c r="L192" s="28">
        <f t="shared" si="5"/>
        <v>26.791666666666668</v>
      </c>
      <c r="N192" s="5">
        <v>5</v>
      </c>
      <c r="O192" s="28" t="e">
        <f>#REF!</f>
        <v>#REF!</v>
      </c>
      <c r="P192" t="s">
        <v>80</v>
      </c>
      <c r="R192" s="5">
        <v>9</v>
      </c>
      <c r="S192" s="28">
        <f t="shared" si="6"/>
        <v>16.074999999999999</v>
      </c>
      <c r="T192" s="28">
        <f t="shared" si="7"/>
        <v>21.433333333333334</v>
      </c>
      <c r="U192" s="28">
        <f t="shared" si="8"/>
        <v>26.791666666666668</v>
      </c>
      <c r="V192" s="28">
        <f t="shared" si="9"/>
        <v>46.669535656343413</v>
      </c>
    </row>
    <row r="193" spans="2:22" x14ac:dyDescent="0.2">
      <c r="B193">
        <f t="shared" si="10"/>
        <v>193.9</v>
      </c>
      <c r="D193" s="5">
        <v>10</v>
      </c>
      <c r="E193" s="28">
        <f t="shared" si="0"/>
        <v>14.5425</v>
      </c>
      <c r="F193" s="28">
        <f t="shared" si="1"/>
        <v>19.39</v>
      </c>
      <c r="G193" s="28">
        <f t="shared" si="2"/>
        <v>24.237500000000001</v>
      </c>
      <c r="I193" s="5">
        <v>10</v>
      </c>
      <c r="J193" s="28">
        <f t="shared" si="3"/>
        <v>14.5425</v>
      </c>
      <c r="K193" s="28">
        <f t="shared" si="4"/>
        <v>19.39</v>
      </c>
      <c r="L193" s="28">
        <f t="shared" si="5"/>
        <v>24.237500000000001</v>
      </c>
      <c r="N193" s="5">
        <v>6</v>
      </c>
      <c r="O193" s="28" t="e">
        <f>O$197+((O$192-O$197)*4/6)</f>
        <v>#REF!</v>
      </c>
      <c r="R193" s="5">
        <v>10</v>
      </c>
      <c r="S193" s="28">
        <f t="shared" si="6"/>
        <v>14.5425</v>
      </c>
      <c r="T193" s="28">
        <f t="shared" si="7"/>
        <v>19.39</v>
      </c>
      <c r="U193" s="28">
        <f t="shared" si="8"/>
        <v>24.237500000000001</v>
      </c>
      <c r="V193" s="28">
        <f t="shared" si="9"/>
        <v>42.002582090709076</v>
      </c>
    </row>
    <row r="194" spans="2:22" x14ac:dyDescent="0.2">
      <c r="B194">
        <f t="shared" si="10"/>
        <v>194.9</v>
      </c>
      <c r="D194" s="5">
        <v>11</v>
      </c>
      <c r="E194" s="28">
        <f t="shared" si="0"/>
        <v>13.288636363636364</v>
      </c>
      <c r="F194" s="28">
        <f t="shared" si="1"/>
        <v>17.718181818181819</v>
      </c>
      <c r="G194" s="28">
        <f t="shared" si="2"/>
        <v>22.147727272727273</v>
      </c>
      <c r="I194" s="5">
        <v>11</v>
      </c>
      <c r="J194" s="28">
        <f t="shared" si="3"/>
        <v>13.288636363636364</v>
      </c>
      <c r="K194" s="28">
        <f t="shared" si="4"/>
        <v>17.718181818181819</v>
      </c>
      <c r="L194" s="28">
        <f t="shared" si="5"/>
        <v>22.147727272727273</v>
      </c>
      <c r="N194" s="5">
        <v>7</v>
      </c>
      <c r="O194" s="28" t="e">
        <f>O$197+((O$192-O$197)*3/7)</f>
        <v>#REF!</v>
      </c>
      <c r="R194" s="5">
        <v>11</v>
      </c>
      <c r="S194" s="28">
        <f t="shared" si="6"/>
        <v>13.288636363636364</v>
      </c>
      <c r="T194" s="28">
        <f t="shared" si="7"/>
        <v>17.718181818181819</v>
      </c>
      <c r="U194" s="28">
        <f t="shared" si="8"/>
        <v>22.147727272727273</v>
      </c>
      <c r="V194" s="28">
        <f t="shared" si="9"/>
        <v>38.184165537008248</v>
      </c>
    </row>
    <row r="195" spans="2:22" x14ac:dyDescent="0.2">
      <c r="B195">
        <f t="shared" si="10"/>
        <v>195.89999999999998</v>
      </c>
      <c r="D195" s="5">
        <v>12</v>
      </c>
      <c r="E195" s="28">
        <f t="shared" si="0"/>
        <v>12.243749999999999</v>
      </c>
      <c r="F195" s="28">
        <f t="shared" si="1"/>
        <v>16.324999999999999</v>
      </c>
      <c r="G195" s="28">
        <f t="shared" si="2"/>
        <v>20.40625</v>
      </c>
      <c r="I195" s="5">
        <v>12</v>
      </c>
      <c r="J195" s="28">
        <f t="shared" si="3"/>
        <v>12.243749999999999</v>
      </c>
      <c r="K195" s="28">
        <f t="shared" si="4"/>
        <v>16.324999999999999</v>
      </c>
      <c r="L195" s="28">
        <f t="shared" si="5"/>
        <v>20.40625</v>
      </c>
      <c r="N195" s="5">
        <v>8</v>
      </c>
      <c r="O195" s="28" t="e">
        <f>O$197+((O$192-O$197)*2/8)</f>
        <v>#REF!</v>
      </c>
      <c r="R195" s="5">
        <v>12</v>
      </c>
      <c r="S195" s="28">
        <f t="shared" si="6"/>
        <v>12.243749999999999</v>
      </c>
      <c r="T195" s="28">
        <f t="shared" si="7"/>
        <v>16.324999999999999</v>
      </c>
      <c r="U195" s="28">
        <f t="shared" si="8"/>
        <v>20.40625</v>
      </c>
      <c r="V195" s="28">
        <f t="shared" si="9"/>
        <v>35.00215174225756</v>
      </c>
    </row>
    <row r="196" spans="2:22" x14ac:dyDescent="0.2">
      <c r="B196">
        <f t="shared" si="10"/>
        <v>196.9</v>
      </c>
      <c r="D196" s="5">
        <v>13</v>
      </c>
      <c r="E196" s="28">
        <f t="shared" si="0"/>
        <v>11.359615384615385</v>
      </c>
      <c r="F196" s="28">
        <f t="shared" si="1"/>
        <v>15.146153846153847</v>
      </c>
      <c r="G196" s="28">
        <f t="shared" si="2"/>
        <v>18.93269230769231</v>
      </c>
      <c r="I196" s="5">
        <v>13</v>
      </c>
      <c r="J196" s="28">
        <f t="shared" si="3"/>
        <v>11.359615384615385</v>
      </c>
      <c r="K196" s="28">
        <f t="shared" si="4"/>
        <v>15.146153846153847</v>
      </c>
      <c r="L196" s="28">
        <f t="shared" si="5"/>
        <v>18.93269230769231</v>
      </c>
      <c r="N196" s="5">
        <v>9</v>
      </c>
      <c r="O196" s="28" t="e">
        <f>O$197+((O$192-O$197)*1/9)</f>
        <v>#REF!</v>
      </c>
      <c r="R196" s="5">
        <v>13</v>
      </c>
      <c r="S196" s="28">
        <f t="shared" si="6"/>
        <v>11.359615384615385</v>
      </c>
      <c r="T196" s="28">
        <f t="shared" si="7"/>
        <v>15.146153846153847</v>
      </c>
      <c r="U196" s="28">
        <f t="shared" si="8"/>
        <v>18.93269230769231</v>
      </c>
      <c r="V196" s="28">
        <f t="shared" si="9"/>
        <v>32.309678531314674</v>
      </c>
    </row>
    <row r="197" spans="2:22" x14ac:dyDescent="0.2">
      <c r="B197">
        <f t="shared" si="10"/>
        <v>197.9</v>
      </c>
      <c r="D197" s="5">
        <v>14</v>
      </c>
      <c r="E197" s="28">
        <f t="shared" si="0"/>
        <v>10.601785714285715</v>
      </c>
      <c r="F197" s="28">
        <f t="shared" si="1"/>
        <v>14.135714285714286</v>
      </c>
      <c r="G197" s="28">
        <f t="shared" si="2"/>
        <v>17.669642857142858</v>
      </c>
      <c r="I197" s="5">
        <v>14</v>
      </c>
      <c r="J197" s="28">
        <f t="shared" si="3"/>
        <v>10.601785714285715</v>
      </c>
      <c r="K197" s="28">
        <f t="shared" si="4"/>
        <v>14.135714285714286</v>
      </c>
      <c r="L197" s="28">
        <f t="shared" si="5"/>
        <v>17.669642857142858</v>
      </c>
      <c r="N197" s="5">
        <v>10</v>
      </c>
      <c r="O197" s="28" t="e">
        <f>#REF!</f>
        <v>#REF!</v>
      </c>
      <c r="P197" t="s">
        <v>80</v>
      </c>
      <c r="R197" s="5">
        <v>14</v>
      </c>
      <c r="S197" s="28">
        <f t="shared" si="6"/>
        <v>10.601785714285715</v>
      </c>
      <c r="T197" s="28">
        <f t="shared" si="7"/>
        <v>14.135714285714286</v>
      </c>
      <c r="U197" s="28">
        <f t="shared" si="8"/>
        <v>17.669642857142858</v>
      </c>
      <c r="V197" s="28">
        <f t="shared" si="9"/>
        <v>30.001844350506481</v>
      </c>
    </row>
    <row r="198" spans="2:22" x14ac:dyDescent="0.2">
      <c r="B198">
        <f t="shared" si="10"/>
        <v>198.9</v>
      </c>
      <c r="D198" s="5">
        <v>15</v>
      </c>
      <c r="E198" s="28">
        <f t="shared" si="0"/>
        <v>9.9450000000000003</v>
      </c>
      <c r="F198" s="28">
        <f t="shared" si="1"/>
        <v>13.26</v>
      </c>
      <c r="G198" s="28">
        <f t="shared" si="2"/>
        <v>16.574999999999999</v>
      </c>
      <c r="I198" s="5">
        <v>15</v>
      </c>
      <c r="J198" s="28">
        <f t="shared" si="3"/>
        <v>9.9450000000000003</v>
      </c>
      <c r="K198" s="28">
        <f t="shared" si="4"/>
        <v>13.26</v>
      </c>
      <c r="L198" s="28">
        <f t="shared" si="5"/>
        <v>16.574999999999999</v>
      </c>
      <c r="N198" s="5">
        <v>11</v>
      </c>
      <c r="O198" s="28" t="e">
        <f>O$202+((O$197-O$202)*4/6)</f>
        <v>#REF!</v>
      </c>
      <c r="R198" s="5">
        <v>15</v>
      </c>
      <c r="S198" s="28">
        <f t="shared" si="6"/>
        <v>9.9450000000000003</v>
      </c>
      <c r="T198" s="28">
        <f t="shared" si="7"/>
        <v>13.26</v>
      </c>
      <c r="U198" s="28">
        <f t="shared" si="8"/>
        <v>16.574999999999999</v>
      </c>
      <c r="V198" s="28">
        <f t="shared" si="9"/>
        <v>28.001721393806051</v>
      </c>
    </row>
    <row r="199" spans="2:22" x14ac:dyDescent="0.2">
      <c r="B199">
        <f t="shared" si="10"/>
        <v>199.9</v>
      </c>
      <c r="D199" s="5">
        <v>16</v>
      </c>
      <c r="E199" s="28">
        <f t="shared" si="0"/>
        <v>9.3703125000000007</v>
      </c>
      <c r="F199" s="28">
        <f t="shared" si="1"/>
        <v>12.49375</v>
      </c>
      <c r="G199" s="28">
        <f t="shared" si="2"/>
        <v>15.6171875</v>
      </c>
      <c r="I199" s="5">
        <v>16</v>
      </c>
      <c r="J199" s="28">
        <f t="shared" si="3"/>
        <v>9.3703125000000007</v>
      </c>
      <c r="K199" s="28">
        <f t="shared" si="4"/>
        <v>12.49375</v>
      </c>
      <c r="L199" s="28">
        <f t="shared" si="5"/>
        <v>15.6171875</v>
      </c>
      <c r="N199" s="5">
        <v>12</v>
      </c>
      <c r="O199" s="28" t="e">
        <f>O$202+((O$197-O$202)*3/7)</f>
        <v>#REF!</v>
      </c>
      <c r="R199" s="5">
        <v>16</v>
      </c>
      <c r="S199" s="28">
        <f t="shared" si="6"/>
        <v>9.3703125000000007</v>
      </c>
      <c r="T199" s="28">
        <f t="shared" si="7"/>
        <v>12.49375</v>
      </c>
      <c r="U199" s="28">
        <f t="shared" si="8"/>
        <v>15.6171875</v>
      </c>
      <c r="V199" s="28">
        <f t="shared" si="9"/>
        <v>26.251613806693172</v>
      </c>
    </row>
    <row r="200" spans="2:22" x14ac:dyDescent="0.2">
      <c r="B200">
        <f t="shared" si="10"/>
        <v>200.9</v>
      </c>
      <c r="D200" s="5">
        <v>17</v>
      </c>
      <c r="E200" s="28">
        <f t="shared" si="0"/>
        <v>8.8632352941176471</v>
      </c>
      <c r="F200" s="28">
        <f t="shared" si="1"/>
        <v>11.81764705882353</v>
      </c>
      <c r="G200" s="28">
        <f t="shared" si="2"/>
        <v>14.772058823529413</v>
      </c>
      <c r="I200" s="5">
        <v>17</v>
      </c>
      <c r="J200" s="28">
        <f t="shared" si="3"/>
        <v>8.8632352941176471</v>
      </c>
      <c r="K200" s="28">
        <f t="shared" si="4"/>
        <v>11.81764705882353</v>
      </c>
      <c r="L200" s="28">
        <f t="shared" si="5"/>
        <v>14.772058823529413</v>
      </c>
      <c r="N200" s="5">
        <v>13</v>
      </c>
      <c r="O200" s="28" t="e">
        <f>O$202+((O$197-O$202)*2/8)</f>
        <v>#REF!</v>
      </c>
      <c r="R200" s="5">
        <v>17</v>
      </c>
      <c r="S200" s="28">
        <f t="shared" si="6"/>
        <v>8.8632352941176471</v>
      </c>
      <c r="T200" s="28">
        <f t="shared" si="7"/>
        <v>11.81764705882353</v>
      </c>
      <c r="U200" s="28">
        <f t="shared" si="8"/>
        <v>14.772058823529413</v>
      </c>
      <c r="V200" s="28">
        <f t="shared" si="9"/>
        <v>24.707401229828868</v>
      </c>
    </row>
    <row r="201" spans="2:22" x14ac:dyDescent="0.2">
      <c r="B201">
        <f t="shared" si="10"/>
        <v>201.9</v>
      </c>
      <c r="D201" s="5">
        <v>18</v>
      </c>
      <c r="E201" s="28">
        <f t="shared" ref="E201:E263" si="11">(1-$F$271)*F201</f>
        <v>8.4124999999999996</v>
      </c>
      <c r="F201" s="28">
        <f t="shared" si="1"/>
        <v>11.216666666666667</v>
      </c>
      <c r="G201" s="28">
        <f t="shared" ref="G201:G263" si="12">F201*(1+$F$271)</f>
        <v>14.020833333333334</v>
      </c>
      <c r="I201" s="5">
        <v>18</v>
      </c>
      <c r="J201" s="28">
        <f t="shared" ref="J201:J263" si="13">IF(E201&gt;$F$170,$F$170,E201)</f>
        <v>8.4124999999999996</v>
      </c>
      <c r="K201" s="28">
        <f t="shared" ref="K201:K263" si="14">IF(F201&gt;$F$171,$F$171,F201)</f>
        <v>11.216666666666667</v>
      </c>
      <c r="L201" s="28">
        <f t="shared" ref="L201:L263" si="15">IF(G201&gt;$F$172,$F$172,G201)</f>
        <v>14.020833333333334</v>
      </c>
      <c r="N201" s="5">
        <v>14</v>
      </c>
      <c r="O201" s="28" t="e">
        <f>O$202+((O$197-O$202)*1/9)</f>
        <v>#REF!</v>
      </c>
      <c r="R201" s="26">
        <v>18</v>
      </c>
      <c r="S201" s="28">
        <f t="shared" ref="S201:S203" si="16">IF($R201&gt;$F$168,0.0000000005,J201)</f>
        <v>8.4124999999999996</v>
      </c>
      <c r="T201" s="28">
        <f t="shared" ref="T201:T203" si="17">IF($R201&gt;$F$168,0.0000000005,K201)</f>
        <v>11.216666666666667</v>
      </c>
      <c r="U201" s="28">
        <f t="shared" ref="U201:U203" si="18">IF($R201&gt;$F$168,0.0000000005,L201)</f>
        <v>14.020833333333334</v>
      </c>
      <c r="V201" s="28">
        <f t="shared" ref="V201:V203" si="19">$X$184/R201</f>
        <v>23.334767828171707</v>
      </c>
    </row>
    <row r="202" spans="2:22" x14ac:dyDescent="0.2">
      <c r="B202">
        <f t="shared" si="10"/>
        <v>202.9</v>
      </c>
      <c r="D202" s="5">
        <v>19</v>
      </c>
      <c r="E202" s="28">
        <f t="shared" si="11"/>
        <v>8.0092105263157904</v>
      </c>
      <c r="F202" s="28">
        <f t="shared" si="1"/>
        <v>10.678947368421053</v>
      </c>
      <c r="G202" s="28">
        <f t="shared" si="12"/>
        <v>13.348684210526315</v>
      </c>
      <c r="I202" s="5">
        <v>19</v>
      </c>
      <c r="J202" s="28">
        <f t="shared" si="13"/>
        <v>8.0092105263157904</v>
      </c>
      <c r="K202" s="28">
        <f t="shared" si="14"/>
        <v>10.678947368421053</v>
      </c>
      <c r="L202" s="28">
        <f t="shared" si="15"/>
        <v>13.348684210526315</v>
      </c>
      <c r="N202" s="5">
        <v>15</v>
      </c>
      <c r="O202" s="28" t="e">
        <f>#REF!</f>
        <v>#REF!</v>
      </c>
      <c r="P202" t="s">
        <v>80</v>
      </c>
      <c r="R202" s="26">
        <v>19</v>
      </c>
      <c r="S202" s="28">
        <f t="shared" si="16"/>
        <v>8.0092105263157904</v>
      </c>
      <c r="T202" s="28">
        <f t="shared" si="17"/>
        <v>10.678947368421053</v>
      </c>
      <c r="U202" s="28">
        <f t="shared" si="18"/>
        <v>13.348684210526315</v>
      </c>
      <c r="V202" s="28">
        <f t="shared" si="19"/>
        <v>22.106622153004775</v>
      </c>
    </row>
    <row r="203" spans="2:22" x14ac:dyDescent="0.2">
      <c r="B203">
        <f t="shared" si="10"/>
        <v>203.9</v>
      </c>
      <c r="D203" s="5">
        <v>20</v>
      </c>
      <c r="E203" s="28">
        <f t="shared" si="11"/>
        <v>7.6462500000000002</v>
      </c>
      <c r="F203" s="28">
        <f t="shared" si="1"/>
        <v>10.195</v>
      </c>
      <c r="G203" s="28">
        <f t="shared" si="12"/>
        <v>12.74375</v>
      </c>
      <c r="I203" s="5">
        <v>20</v>
      </c>
      <c r="J203" s="28">
        <f t="shared" si="13"/>
        <v>7.6462500000000002</v>
      </c>
      <c r="K203" s="28">
        <f t="shared" si="14"/>
        <v>10.195</v>
      </c>
      <c r="L203" s="28">
        <f t="shared" si="15"/>
        <v>12.74375</v>
      </c>
      <c r="N203" s="5">
        <v>16</v>
      </c>
      <c r="O203" s="28" t="e">
        <f>O$207+((O$202-O$207)*4/6)</f>
        <v>#REF!</v>
      </c>
      <c r="R203" s="26">
        <v>20</v>
      </c>
      <c r="S203" s="28">
        <f t="shared" si="16"/>
        <v>7.6462500000000002</v>
      </c>
      <c r="T203" s="28">
        <f t="shared" si="17"/>
        <v>10.195</v>
      </c>
      <c r="U203" s="28">
        <f t="shared" si="18"/>
        <v>12.74375</v>
      </c>
      <c r="V203" s="28">
        <f t="shared" si="19"/>
        <v>21.001291045354538</v>
      </c>
    </row>
    <row r="204" spans="2:22" x14ac:dyDescent="0.2">
      <c r="B204">
        <f t="shared" si="10"/>
        <v>204.9</v>
      </c>
      <c r="D204" s="5">
        <v>21</v>
      </c>
      <c r="E204" s="28">
        <f t="shared" si="11"/>
        <v>7.3178571428571431</v>
      </c>
      <c r="F204" s="28">
        <f t="shared" si="1"/>
        <v>9.757142857142858</v>
      </c>
      <c r="G204" s="28">
        <f t="shared" si="12"/>
        <v>12.196428571428573</v>
      </c>
      <c r="I204" s="5">
        <v>21</v>
      </c>
      <c r="J204" s="28">
        <f t="shared" si="13"/>
        <v>7.3178571428571431</v>
      </c>
      <c r="K204" s="28">
        <f t="shared" si="14"/>
        <v>9.757142857142858</v>
      </c>
      <c r="L204" s="28">
        <f t="shared" si="15"/>
        <v>12.196428571428573</v>
      </c>
      <c r="N204" s="5">
        <v>17</v>
      </c>
      <c r="O204" s="28" t="e">
        <f>O$207+((O$202-O$207)*3/7)</f>
        <v>#REF!</v>
      </c>
      <c r="R204" s="5">
        <v>21</v>
      </c>
      <c r="S204" s="28">
        <f t="shared" ref="S204:S219" si="20">IF($R204&gt;$F$168,0.0000000005,J204)</f>
        <v>7.3178571428571431</v>
      </c>
      <c r="T204" s="28">
        <f t="shared" ref="T204:T219" si="21">IF($R204&gt;$F$168,0.0000000005,K204)</f>
        <v>9.757142857142858</v>
      </c>
      <c r="U204" s="28">
        <f t="shared" ref="U204:U219" si="22">IF($R204&gt;$F$168,0.0000000005,L204)</f>
        <v>12.196428571428573</v>
      </c>
      <c r="V204" s="28">
        <f t="shared" ref="V204:V240" si="23">$X$184/R204</f>
        <v>20.001229567004323</v>
      </c>
    </row>
    <row r="205" spans="2:22" x14ac:dyDescent="0.2">
      <c r="B205">
        <f t="shared" si="10"/>
        <v>205.9</v>
      </c>
      <c r="D205" s="5">
        <v>22</v>
      </c>
      <c r="E205" s="28">
        <f t="shared" si="11"/>
        <v>7.019318181818182</v>
      </c>
      <c r="F205" s="28">
        <f t="shared" si="1"/>
        <v>9.3590909090909093</v>
      </c>
      <c r="G205" s="28">
        <f t="shared" si="12"/>
        <v>11.698863636363637</v>
      </c>
      <c r="I205" s="5">
        <v>22</v>
      </c>
      <c r="J205" s="28">
        <f t="shared" si="13"/>
        <v>7.019318181818182</v>
      </c>
      <c r="K205" s="28">
        <f t="shared" si="14"/>
        <v>9.3590909090909093</v>
      </c>
      <c r="L205" s="28">
        <f t="shared" si="15"/>
        <v>11.698863636363637</v>
      </c>
      <c r="N205" s="26">
        <v>18</v>
      </c>
      <c r="O205" s="28" t="e">
        <f>O$207+((O$202-O$207)*2/8)</f>
        <v>#REF!</v>
      </c>
      <c r="R205" s="5">
        <v>22</v>
      </c>
      <c r="S205" s="28">
        <f t="shared" si="20"/>
        <v>7.019318181818182</v>
      </c>
      <c r="T205" s="28">
        <f t="shared" si="21"/>
        <v>9.3590909090909093</v>
      </c>
      <c r="U205" s="28">
        <f t="shared" si="22"/>
        <v>11.698863636363637</v>
      </c>
      <c r="V205" s="28">
        <f t="shared" si="23"/>
        <v>19.092082768504124</v>
      </c>
    </row>
    <row r="206" spans="2:22" x14ac:dyDescent="0.2">
      <c r="B206">
        <f t="shared" si="10"/>
        <v>206.9</v>
      </c>
      <c r="D206" s="5">
        <v>23</v>
      </c>
      <c r="E206" s="28">
        <f t="shared" si="11"/>
        <v>6.7467391304347828</v>
      </c>
      <c r="F206" s="28">
        <f t="shared" si="1"/>
        <v>8.9956521739130437</v>
      </c>
      <c r="G206" s="28">
        <f t="shared" si="12"/>
        <v>11.244565217391305</v>
      </c>
      <c r="I206" s="5">
        <v>23</v>
      </c>
      <c r="J206" s="28">
        <f t="shared" si="13"/>
        <v>6.7467391304347828</v>
      </c>
      <c r="K206" s="28">
        <f t="shared" si="14"/>
        <v>8.9956521739130437</v>
      </c>
      <c r="L206" s="28">
        <f t="shared" si="15"/>
        <v>11.244565217391305</v>
      </c>
      <c r="N206" s="26">
        <v>19</v>
      </c>
      <c r="O206" s="28" t="e">
        <f>O$207+((O$202-O$207)*1/9)</f>
        <v>#REF!</v>
      </c>
      <c r="R206" s="5">
        <v>23</v>
      </c>
      <c r="S206" s="28">
        <f t="shared" si="20"/>
        <v>6.7467391304347828</v>
      </c>
      <c r="T206" s="28">
        <f t="shared" si="21"/>
        <v>8.9956521739130437</v>
      </c>
      <c r="U206" s="28">
        <f t="shared" si="22"/>
        <v>11.244565217391305</v>
      </c>
      <c r="V206" s="28">
        <f t="shared" si="23"/>
        <v>18.261992213351771</v>
      </c>
    </row>
    <row r="207" spans="2:22" x14ac:dyDescent="0.2">
      <c r="B207">
        <f t="shared" si="10"/>
        <v>207.89999999999998</v>
      </c>
      <c r="D207" s="5">
        <v>24</v>
      </c>
      <c r="E207" s="28">
        <f t="shared" si="11"/>
        <v>6.4968749999999993</v>
      </c>
      <c r="F207" s="28">
        <f t="shared" si="1"/>
        <v>8.6624999999999996</v>
      </c>
      <c r="G207" s="28">
        <f t="shared" si="12"/>
        <v>10.828125</v>
      </c>
      <c r="I207" s="5">
        <v>24</v>
      </c>
      <c r="J207" s="28">
        <f t="shared" si="13"/>
        <v>6.4968749999999993</v>
      </c>
      <c r="K207" s="28">
        <f t="shared" si="14"/>
        <v>8.6624999999999996</v>
      </c>
      <c r="L207" s="28">
        <f t="shared" si="15"/>
        <v>10.828125</v>
      </c>
      <c r="N207" s="26">
        <v>20</v>
      </c>
      <c r="O207" s="28" t="e">
        <f>#REF!</f>
        <v>#REF!</v>
      </c>
      <c r="P207" t="s">
        <v>80</v>
      </c>
      <c r="R207" s="5">
        <v>24</v>
      </c>
      <c r="S207" s="28">
        <f t="shared" si="20"/>
        <v>6.4968749999999993</v>
      </c>
      <c r="T207" s="28">
        <f t="shared" si="21"/>
        <v>8.6624999999999996</v>
      </c>
      <c r="U207" s="28">
        <f t="shared" si="22"/>
        <v>10.828125</v>
      </c>
      <c r="V207" s="28">
        <f t="shared" si="23"/>
        <v>17.50107587112878</v>
      </c>
    </row>
    <row r="208" spans="2:22" x14ac:dyDescent="0.2">
      <c r="B208">
        <f t="shared" si="10"/>
        <v>208.9</v>
      </c>
      <c r="D208" s="5">
        <v>25</v>
      </c>
      <c r="E208" s="28">
        <f t="shared" si="11"/>
        <v>6.2669999999999995</v>
      </c>
      <c r="F208" s="28">
        <f t="shared" si="1"/>
        <v>8.3559999999999999</v>
      </c>
      <c r="G208" s="28">
        <f t="shared" si="12"/>
        <v>10.445</v>
      </c>
      <c r="I208" s="5">
        <v>25</v>
      </c>
      <c r="J208" s="28">
        <f t="shared" si="13"/>
        <v>6.2669999999999995</v>
      </c>
      <c r="K208" s="28">
        <f t="shared" si="14"/>
        <v>8.3559999999999999</v>
      </c>
      <c r="L208" s="28">
        <f t="shared" si="15"/>
        <v>10.445</v>
      </c>
      <c r="R208" s="5">
        <v>25</v>
      </c>
      <c r="S208" s="28">
        <f t="shared" si="20"/>
        <v>6.2669999999999995</v>
      </c>
      <c r="T208" s="28">
        <f t="shared" si="21"/>
        <v>8.3559999999999999</v>
      </c>
      <c r="U208" s="28">
        <f t="shared" si="22"/>
        <v>10.445</v>
      </c>
      <c r="V208" s="28">
        <f t="shared" si="23"/>
        <v>16.801032836283628</v>
      </c>
    </row>
    <row r="209" spans="2:22" x14ac:dyDescent="0.2">
      <c r="B209">
        <f t="shared" si="10"/>
        <v>209.9</v>
      </c>
      <c r="D209" s="5">
        <v>26</v>
      </c>
      <c r="E209" s="28">
        <f t="shared" si="11"/>
        <v>6.0548076923076923</v>
      </c>
      <c r="F209" s="28">
        <f t="shared" si="1"/>
        <v>8.0730769230769237</v>
      </c>
      <c r="G209" s="28">
        <f t="shared" si="12"/>
        <v>10.091346153846155</v>
      </c>
      <c r="I209" s="5">
        <v>26</v>
      </c>
      <c r="J209" s="28">
        <f t="shared" si="13"/>
        <v>6.0548076923076923</v>
      </c>
      <c r="K209" s="28">
        <f t="shared" si="14"/>
        <v>8.0730769230769237</v>
      </c>
      <c r="L209" s="28">
        <f t="shared" si="15"/>
        <v>10.091346153846155</v>
      </c>
      <c r="R209" s="5">
        <v>26</v>
      </c>
      <c r="S209" s="28">
        <f t="shared" si="20"/>
        <v>6.0548076923076923</v>
      </c>
      <c r="T209" s="28">
        <f t="shared" si="21"/>
        <v>8.0730769230769237</v>
      </c>
      <c r="U209" s="28">
        <f t="shared" si="22"/>
        <v>10.091346153846155</v>
      </c>
      <c r="V209" s="28">
        <f t="shared" si="23"/>
        <v>16.154839265657337</v>
      </c>
    </row>
    <row r="210" spans="2:22" x14ac:dyDescent="0.2">
      <c r="B210">
        <f t="shared" si="10"/>
        <v>210.9</v>
      </c>
      <c r="D210" s="5">
        <v>27</v>
      </c>
      <c r="E210" s="28">
        <f t="shared" si="11"/>
        <v>5.8583333333333334</v>
      </c>
      <c r="F210" s="28">
        <f t="shared" si="1"/>
        <v>7.8111111111111109</v>
      </c>
      <c r="G210" s="28">
        <f t="shared" si="12"/>
        <v>9.7638888888888893</v>
      </c>
      <c r="I210" s="5">
        <v>27</v>
      </c>
      <c r="J210" s="28">
        <f t="shared" si="13"/>
        <v>5.8583333333333334</v>
      </c>
      <c r="K210" s="28">
        <f t="shared" si="14"/>
        <v>7.8111111111111109</v>
      </c>
      <c r="L210" s="28">
        <f t="shared" si="15"/>
        <v>9.7638888888888893</v>
      </c>
      <c r="R210" s="5">
        <v>27</v>
      </c>
      <c r="S210" s="28">
        <f t="shared" si="20"/>
        <v>5.8583333333333334</v>
      </c>
      <c r="T210" s="28">
        <f t="shared" si="21"/>
        <v>7.8111111111111109</v>
      </c>
      <c r="U210" s="28">
        <f t="shared" si="22"/>
        <v>9.7638888888888893</v>
      </c>
      <c r="V210" s="28">
        <f t="shared" si="23"/>
        <v>15.556511885447806</v>
      </c>
    </row>
    <row r="211" spans="2:22" x14ac:dyDescent="0.2">
      <c r="B211">
        <f t="shared" si="10"/>
        <v>211.9</v>
      </c>
      <c r="D211" s="5">
        <v>28</v>
      </c>
      <c r="E211" s="28">
        <f t="shared" si="11"/>
        <v>5.6758928571428573</v>
      </c>
      <c r="F211" s="28">
        <f t="shared" si="1"/>
        <v>7.5678571428571431</v>
      </c>
      <c r="G211" s="28">
        <f t="shared" si="12"/>
        <v>9.4598214285714288</v>
      </c>
      <c r="I211" s="5">
        <v>28</v>
      </c>
      <c r="J211" s="28">
        <f t="shared" si="13"/>
        <v>5.6758928571428573</v>
      </c>
      <c r="K211" s="28">
        <f t="shared" si="14"/>
        <v>7.5678571428571431</v>
      </c>
      <c r="L211" s="28">
        <f t="shared" si="15"/>
        <v>9.4598214285714288</v>
      </c>
      <c r="R211" s="5">
        <v>28</v>
      </c>
      <c r="S211" s="28">
        <f t="shared" si="20"/>
        <v>5.6758928571428573</v>
      </c>
      <c r="T211" s="28">
        <f t="shared" si="21"/>
        <v>7.5678571428571431</v>
      </c>
      <c r="U211" s="28">
        <f t="shared" si="22"/>
        <v>9.4598214285714288</v>
      </c>
      <c r="V211" s="28">
        <f t="shared" si="23"/>
        <v>15.00092217525324</v>
      </c>
    </row>
    <row r="212" spans="2:22" x14ac:dyDescent="0.2">
      <c r="B212">
        <f t="shared" si="10"/>
        <v>212.9</v>
      </c>
      <c r="D212" s="5">
        <v>29</v>
      </c>
      <c r="E212" s="28">
        <f t="shared" si="11"/>
        <v>5.5060344827586212</v>
      </c>
      <c r="F212" s="28">
        <f t="shared" si="1"/>
        <v>7.3413793103448279</v>
      </c>
      <c r="G212" s="28">
        <f t="shared" si="12"/>
        <v>9.1767241379310356</v>
      </c>
      <c r="I212" s="5">
        <v>29</v>
      </c>
      <c r="J212" s="28">
        <f t="shared" si="13"/>
        <v>5.5060344827586212</v>
      </c>
      <c r="K212" s="28">
        <f t="shared" si="14"/>
        <v>7.3413793103448279</v>
      </c>
      <c r="L212" s="28">
        <f t="shared" si="15"/>
        <v>9.1767241379310356</v>
      </c>
      <c r="R212" s="5">
        <v>29</v>
      </c>
      <c r="S212" s="28">
        <f t="shared" si="20"/>
        <v>5.5060344827586212</v>
      </c>
      <c r="T212" s="28">
        <f t="shared" si="21"/>
        <v>7.3413793103448279</v>
      </c>
      <c r="U212" s="28">
        <f t="shared" si="22"/>
        <v>9.1767241379310356</v>
      </c>
      <c r="V212" s="28">
        <f t="shared" si="23"/>
        <v>14.483648996796232</v>
      </c>
    </row>
    <row r="213" spans="2:22" x14ac:dyDescent="0.2">
      <c r="B213">
        <f t="shared" si="10"/>
        <v>213.9</v>
      </c>
      <c r="D213" s="5">
        <v>30</v>
      </c>
      <c r="E213" s="28">
        <f t="shared" si="11"/>
        <v>5.3475000000000001</v>
      </c>
      <c r="F213" s="28">
        <f t="shared" si="1"/>
        <v>7.13</v>
      </c>
      <c r="G213" s="28">
        <f t="shared" si="12"/>
        <v>8.9124999999999996</v>
      </c>
      <c r="I213" s="5">
        <v>30</v>
      </c>
      <c r="J213" s="28">
        <f t="shared" si="13"/>
        <v>5.3475000000000001</v>
      </c>
      <c r="K213" s="28">
        <f t="shared" si="14"/>
        <v>7.13</v>
      </c>
      <c r="L213" s="28">
        <f t="shared" si="15"/>
        <v>8.9124999999999996</v>
      </c>
      <c r="R213" s="5">
        <v>30</v>
      </c>
      <c r="S213" s="28">
        <f t="shared" si="20"/>
        <v>5.3475000000000001</v>
      </c>
      <c r="T213" s="28">
        <f t="shared" si="21"/>
        <v>7.13</v>
      </c>
      <c r="U213" s="28">
        <f t="shared" si="22"/>
        <v>8.9124999999999996</v>
      </c>
      <c r="V213" s="28">
        <f t="shared" si="23"/>
        <v>14.000860696903025</v>
      </c>
    </row>
    <row r="214" spans="2:22" x14ac:dyDescent="0.2">
      <c r="B214">
        <f t="shared" si="10"/>
        <v>214.9</v>
      </c>
      <c r="D214" s="5">
        <v>31</v>
      </c>
      <c r="E214" s="28">
        <f t="shared" si="11"/>
        <v>5.1991935483870968</v>
      </c>
      <c r="F214" s="28">
        <f t="shared" si="1"/>
        <v>6.9322580645161294</v>
      </c>
      <c r="G214" s="28">
        <f t="shared" si="12"/>
        <v>8.6653225806451619</v>
      </c>
      <c r="I214" s="5">
        <v>31</v>
      </c>
      <c r="J214" s="28">
        <f t="shared" si="13"/>
        <v>5.1991935483870968</v>
      </c>
      <c r="K214" s="28">
        <f t="shared" si="14"/>
        <v>6.9322580645161294</v>
      </c>
      <c r="L214" s="28">
        <f t="shared" si="15"/>
        <v>8.6653225806451619</v>
      </c>
      <c r="R214" s="5">
        <v>31</v>
      </c>
      <c r="S214" s="28">
        <f t="shared" si="20"/>
        <v>5.1991935483870968</v>
      </c>
      <c r="T214" s="28">
        <f t="shared" si="21"/>
        <v>6.9322580645161294</v>
      </c>
      <c r="U214" s="28">
        <f t="shared" si="22"/>
        <v>8.6653225806451619</v>
      </c>
      <c r="V214" s="28">
        <f t="shared" si="23"/>
        <v>13.549220029260992</v>
      </c>
    </row>
    <row r="215" spans="2:22" x14ac:dyDescent="0.2">
      <c r="B215">
        <f t="shared" si="10"/>
        <v>215.9</v>
      </c>
      <c r="D215" s="5">
        <v>32</v>
      </c>
      <c r="E215" s="28">
        <f t="shared" si="11"/>
        <v>5.0601562500000004</v>
      </c>
      <c r="F215" s="28">
        <f t="shared" si="1"/>
        <v>6.7468750000000002</v>
      </c>
      <c r="G215" s="28">
        <f t="shared" si="12"/>
        <v>8.43359375</v>
      </c>
      <c r="I215" s="5">
        <v>32</v>
      </c>
      <c r="J215" s="28">
        <f t="shared" si="13"/>
        <v>5.0601562500000004</v>
      </c>
      <c r="K215" s="28">
        <f t="shared" si="14"/>
        <v>6.7468750000000002</v>
      </c>
      <c r="L215" s="28">
        <f t="shared" si="15"/>
        <v>8.43359375</v>
      </c>
      <c r="R215" s="5">
        <v>32</v>
      </c>
      <c r="S215" s="28">
        <f t="shared" si="20"/>
        <v>5.0601562500000004</v>
      </c>
      <c r="T215" s="28">
        <f t="shared" si="21"/>
        <v>6.7468750000000002</v>
      </c>
      <c r="U215" s="28">
        <f t="shared" si="22"/>
        <v>8.43359375</v>
      </c>
      <c r="V215" s="28">
        <f t="shared" si="23"/>
        <v>13.125806903346586</v>
      </c>
    </row>
    <row r="216" spans="2:22" x14ac:dyDescent="0.2">
      <c r="B216">
        <f t="shared" si="10"/>
        <v>216.9</v>
      </c>
      <c r="D216" s="5">
        <v>33</v>
      </c>
      <c r="E216" s="28">
        <f t="shared" si="11"/>
        <v>4.9295454545454547</v>
      </c>
      <c r="F216" s="28">
        <f t="shared" ref="F216:F247" si="24">($F$175+(D216-VINMAX)*$E$268/$E$269)/D216</f>
        <v>6.5727272727272732</v>
      </c>
      <c r="G216" s="28">
        <f t="shared" si="12"/>
        <v>8.2159090909090917</v>
      </c>
      <c r="I216" s="5">
        <v>33</v>
      </c>
      <c r="J216" s="28">
        <f t="shared" si="13"/>
        <v>4.9295454545454547</v>
      </c>
      <c r="K216" s="28">
        <f t="shared" si="14"/>
        <v>6.5727272727272732</v>
      </c>
      <c r="L216" s="28">
        <f t="shared" si="15"/>
        <v>8.2159090909090917</v>
      </c>
      <c r="R216" s="5">
        <v>33</v>
      </c>
      <c r="S216" s="28">
        <f t="shared" si="20"/>
        <v>4.9295454545454547</v>
      </c>
      <c r="T216" s="28">
        <f t="shared" si="21"/>
        <v>6.5727272727272732</v>
      </c>
      <c r="U216" s="28">
        <f t="shared" si="22"/>
        <v>8.2159090909090917</v>
      </c>
      <c r="V216" s="28">
        <f t="shared" si="23"/>
        <v>12.72805517900275</v>
      </c>
    </row>
    <row r="217" spans="2:22" x14ac:dyDescent="0.2">
      <c r="B217">
        <f t="shared" si="10"/>
        <v>217.9</v>
      </c>
      <c r="D217" s="5">
        <v>34</v>
      </c>
      <c r="E217" s="28">
        <f t="shared" si="11"/>
        <v>4.8066176470588236</v>
      </c>
      <c r="F217" s="28">
        <f t="shared" si="24"/>
        <v>6.408823529411765</v>
      </c>
      <c r="G217" s="28">
        <f t="shared" si="12"/>
        <v>8.0110294117647065</v>
      </c>
      <c r="I217" s="5">
        <v>34</v>
      </c>
      <c r="J217" s="28">
        <f t="shared" si="13"/>
        <v>4.8066176470588236</v>
      </c>
      <c r="K217" s="28">
        <f t="shared" si="14"/>
        <v>6.408823529411765</v>
      </c>
      <c r="L217" s="28">
        <f t="shared" si="15"/>
        <v>8.0110294117647065</v>
      </c>
      <c r="R217" s="5">
        <v>34</v>
      </c>
      <c r="S217" s="28">
        <f t="shared" si="20"/>
        <v>4.8066176470588236</v>
      </c>
      <c r="T217" s="28">
        <f t="shared" si="21"/>
        <v>6.408823529411765</v>
      </c>
      <c r="U217" s="28">
        <f t="shared" si="22"/>
        <v>8.0110294117647065</v>
      </c>
      <c r="V217" s="28">
        <f t="shared" si="23"/>
        <v>12.353700614914434</v>
      </c>
    </row>
    <row r="218" spans="2:22" x14ac:dyDescent="0.2">
      <c r="B218">
        <f t="shared" si="10"/>
        <v>218.9</v>
      </c>
      <c r="D218" s="5">
        <v>35</v>
      </c>
      <c r="E218" s="28">
        <f t="shared" si="11"/>
        <v>4.6907142857142858</v>
      </c>
      <c r="F218" s="28">
        <f t="shared" si="24"/>
        <v>6.2542857142857144</v>
      </c>
      <c r="G218" s="28">
        <f t="shared" si="12"/>
        <v>7.8178571428571431</v>
      </c>
      <c r="I218" s="5">
        <v>35</v>
      </c>
      <c r="J218" s="28">
        <f t="shared" si="13"/>
        <v>4.6907142857142858</v>
      </c>
      <c r="K218" s="28">
        <f t="shared" si="14"/>
        <v>6.2542857142857144</v>
      </c>
      <c r="L218" s="28">
        <f t="shared" si="15"/>
        <v>7.8178571428571431</v>
      </c>
      <c r="R218" s="5">
        <v>35</v>
      </c>
      <c r="S218" s="28">
        <f t="shared" si="20"/>
        <v>4.6907142857142858</v>
      </c>
      <c r="T218" s="28">
        <f t="shared" si="21"/>
        <v>6.2542857142857144</v>
      </c>
      <c r="U218" s="28">
        <f t="shared" si="22"/>
        <v>7.8178571428571431</v>
      </c>
      <c r="V218" s="28">
        <f t="shared" si="23"/>
        <v>12.000737740202593</v>
      </c>
    </row>
    <row r="219" spans="2:22" x14ac:dyDescent="0.2">
      <c r="B219">
        <f t="shared" si="10"/>
        <v>219.9</v>
      </c>
      <c r="D219" s="5">
        <v>36</v>
      </c>
      <c r="E219" s="28">
        <f t="shared" si="11"/>
        <v>4.5812499999999998</v>
      </c>
      <c r="F219" s="28">
        <f t="shared" si="24"/>
        <v>6.1083333333333334</v>
      </c>
      <c r="G219" s="28">
        <f t="shared" si="12"/>
        <v>7.635416666666667</v>
      </c>
      <c r="I219" s="5">
        <v>36</v>
      </c>
      <c r="J219" s="28">
        <f t="shared" si="13"/>
        <v>4.5812499999999998</v>
      </c>
      <c r="K219" s="28">
        <f t="shared" si="14"/>
        <v>6.1083333333333334</v>
      </c>
      <c r="L219" s="28">
        <f t="shared" si="15"/>
        <v>7.635416666666667</v>
      </c>
      <c r="R219" s="5">
        <v>36</v>
      </c>
      <c r="S219" s="28">
        <f t="shared" si="20"/>
        <v>4.5812499999999998</v>
      </c>
      <c r="T219" s="28">
        <f t="shared" si="21"/>
        <v>6.1083333333333334</v>
      </c>
      <c r="U219" s="28">
        <f t="shared" si="22"/>
        <v>7.635416666666667</v>
      </c>
      <c r="V219" s="28">
        <f t="shared" si="23"/>
        <v>11.667383914085853</v>
      </c>
    </row>
    <row r="220" spans="2:22" x14ac:dyDescent="0.2">
      <c r="B220">
        <f t="shared" si="10"/>
        <v>220.9</v>
      </c>
      <c r="D220" s="5">
        <v>37</v>
      </c>
      <c r="E220" s="28">
        <f t="shared" si="11"/>
        <v>4.477702702702703</v>
      </c>
      <c r="F220" s="28">
        <f t="shared" si="24"/>
        <v>5.9702702702702704</v>
      </c>
      <c r="G220" s="28">
        <f t="shared" si="12"/>
        <v>7.4628378378378377</v>
      </c>
      <c r="I220" s="5">
        <v>37</v>
      </c>
      <c r="J220" s="28">
        <f t="shared" si="13"/>
        <v>4.477702702702703</v>
      </c>
      <c r="K220" s="28">
        <f t="shared" si="14"/>
        <v>5.9702702702702704</v>
      </c>
      <c r="L220" s="28">
        <f t="shared" si="15"/>
        <v>7.4628378378378377</v>
      </c>
      <c r="R220" s="5">
        <v>37</v>
      </c>
      <c r="S220" s="28">
        <f t="shared" ref="S220:S224" si="25">IF($R220&gt;$F$168,0.0000000005,J220)</f>
        <v>4.477702702702703</v>
      </c>
      <c r="T220" s="28">
        <f t="shared" ref="T220:T224" si="26">IF($R220&gt;$F$168,0.0000000005,K220)</f>
        <v>5.9702702702702704</v>
      </c>
      <c r="U220" s="28">
        <f t="shared" ref="U220:U224" si="27">IF($R220&gt;$F$168,0.0000000005,L220)</f>
        <v>7.4628378378378377</v>
      </c>
      <c r="V220" s="28">
        <f t="shared" ref="V220:V224" si="28">$X$184/R220</f>
        <v>11.352049213705156</v>
      </c>
    </row>
    <row r="221" spans="2:22" x14ac:dyDescent="0.2">
      <c r="B221">
        <f t="shared" si="10"/>
        <v>221.9</v>
      </c>
      <c r="D221" s="5">
        <v>38</v>
      </c>
      <c r="E221" s="28">
        <f t="shared" si="11"/>
        <v>4.3796052631578952</v>
      </c>
      <c r="F221" s="28">
        <f t="shared" si="24"/>
        <v>5.8394736842105264</v>
      </c>
      <c r="G221" s="28">
        <f t="shared" si="12"/>
        <v>7.2993421052631575</v>
      </c>
      <c r="I221" s="5">
        <v>38</v>
      </c>
      <c r="J221" s="28">
        <f t="shared" si="13"/>
        <v>4.3796052631578952</v>
      </c>
      <c r="K221" s="28">
        <f t="shared" si="14"/>
        <v>5.8394736842105264</v>
      </c>
      <c r="L221" s="28">
        <f t="shared" si="15"/>
        <v>7.2993421052631575</v>
      </c>
      <c r="R221" s="26">
        <v>38</v>
      </c>
      <c r="S221" s="28">
        <f t="shared" si="25"/>
        <v>4.3796052631578952</v>
      </c>
      <c r="T221" s="28">
        <f t="shared" si="26"/>
        <v>5.8394736842105264</v>
      </c>
      <c r="U221" s="28">
        <f t="shared" si="27"/>
        <v>7.2993421052631575</v>
      </c>
      <c r="V221" s="28">
        <f t="shared" si="28"/>
        <v>11.053311076502387</v>
      </c>
    </row>
    <row r="222" spans="2:22" x14ac:dyDescent="0.2">
      <c r="B222">
        <f t="shared" si="10"/>
        <v>222.9</v>
      </c>
      <c r="D222" s="5">
        <v>39</v>
      </c>
      <c r="E222" s="28">
        <f t="shared" si="11"/>
        <v>4.2865384615384619</v>
      </c>
      <c r="F222" s="28">
        <f t="shared" si="24"/>
        <v>5.7153846153846155</v>
      </c>
      <c r="G222" s="28">
        <f t="shared" si="12"/>
        <v>7.1442307692307692</v>
      </c>
      <c r="I222" s="5">
        <v>39</v>
      </c>
      <c r="J222" s="28">
        <f t="shared" si="13"/>
        <v>4.2865384615384619</v>
      </c>
      <c r="K222" s="28">
        <f t="shared" si="14"/>
        <v>5.7153846153846155</v>
      </c>
      <c r="L222" s="28">
        <f t="shared" si="15"/>
        <v>7.1442307692307692</v>
      </c>
      <c r="R222" s="26">
        <v>39</v>
      </c>
      <c r="S222" s="28">
        <f t="shared" si="25"/>
        <v>4.2865384615384619</v>
      </c>
      <c r="T222" s="28">
        <f t="shared" si="26"/>
        <v>5.7153846153846155</v>
      </c>
      <c r="U222" s="28">
        <f t="shared" si="27"/>
        <v>7.1442307692307692</v>
      </c>
      <c r="V222" s="28">
        <f t="shared" si="28"/>
        <v>10.769892843771558</v>
      </c>
    </row>
    <row r="223" spans="2:22" x14ac:dyDescent="0.2">
      <c r="B223">
        <f t="shared" si="10"/>
        <v>223.9</v>
      </c>
      <c r="D223" s="5">
        <v>40</v>
      </c>
      <c r="E223" s="28">
        <f t="shared" si="11"/>
        <v>4.1981250000000001</v>
      </c>
      <c r="F223" s="28">
        <f t="shared" si="24"/>
        <v>5.5975000000000001</v>
      </c>
      <c r="G223" s="28">
        <f t="shared" si="12"/>
        <v>6.9968750000000002</v>
      </c>
      <c r="I223" s="5">
        <v>40</v>
      </c>
      <c r="J223" s="28">
        <f t="shared" si="13"/>
        <v>4.1981250000000001</v>
      </c>
      <c r="K223" s="28">
        <f t="shared" si="14"/>
        <v>5.5975000000000001</v>
      </c>
      <c r="L223" s="28">
        <f t="shared" si="15"/>
        <v>6.9968750000000002</v>
      </c>
      <c r="R223" s="26">
        <v>40</v>
      </c>
      <c r="S223" s="28">
        <f t="shared" si="25"/>
        <v>4.1981250000000001</v>
      </c>
      <c r="T223" s="28">
        <f t="shared" si="26"/>
        <v>5.5975000000000001</v>
      </c>
      <c r="U223" s="28">
        <f t="shared" si="27"/>
        <v>6.9968750000000002</v>
      </c>
      <c r="V223" s="28">
        <f t="shared" si="28"/>
        <v>10.500645522677269</v>
      </c>
    </row>
    <row r="224" spans="2:22" x14ac:dyDescent="0.2">
      <c r="B224">
        <f t="shared" si="10"/>
        <v>224.9</v>
      </c>
      <c r="D224" s="5">
        <v>41</v>
      </c>
      <c r="E224" s="28">
        <f t="shared" si="11"/>
        <v>4.1140243902439027</v>
      </c>
      <c r="F224" s="28">
        <f t="shared" si="24"/>
        <v>5.4853658536585366</v>
      </c>
      <c r="G224" s="28">
        <f t="shared" si="12"/>
        <v>6.8567073170731705</v>
      </c>
      <c r="I224" s="5">
        <v>41</v>
      </c>
      <c r="J224" s="28">
        <f t="shared" si="13"/>
        <v>4.1140243902439027</v>
      </c>
      <c r="K224" s="28">
        <f t="shared" si="14"/>
        <v>5.4853658536585366</v>
      </c>
      <c r="L224" s="28">
        <f t="shared" si="15"/>
        <v>6.8567073170731705</v>
      </c>
      <c r="R224" s="5">
        <v>41</v>
      </c>
      <c r="S224" s="28">
        <f t="shared" si="25"/>
        <v>4.1140243902439027</v>
      </c>
      <c r="T224" s="28">
        <f t="shared" si="26"/>
        <v>5.4853658536585366</v>
      </c>
      <c r="U224" s="28">
        <f t="shared" si="27"/>
        <v>6.8567073170731705</v>
      </c>
      <c r="V224" s="28">
        <f t="shared" si="28"/>
        <v>10.244532217246116</v>
      </c>
    </row>
    <row r="225" spans="2:22" x14ac:dyDescent="0.2">
      <c r="B225">
        <f t="shared" si="10"/>
        <v>225.9</v>
      </c>
      <c r="D225" s="5">
        <v>42</v>
      </c>
      <c r="E225" s="28">
        <f t="shared" si="11"/>
        <v>4.0339285714285715</v>
      </c>
      <c r="F225" s="28">
        <f t="shared" si="24"/>
        <v>5.378571428571429</v>
      </c>
      <c r="G225" s="28">
        <f t="shared" si="12"/>
        <v>6.7232142857142865</v>
      </c>
      <c r="I225" s="5">
        <v>42</v>
      </c>
      <c r="J225" s="28">
        <f t="shared" si="13"/>
        <v>4.0339285714285715</v>
      </c>
      <c r="K225" s="28">
        <f t="shared" si="14"/>
        <v>5.378571428571429</v>
      </c>
      <c r="L225" s="28">
        <f t="shared" si="15"/>
        <v>6.7232142857142865</v>
      </c>
      <c r="R225" s="5">
        <v>42</v>
      </c>
      <c r="S225" s="28">
        <f t="shared" ref="S225:S240" si="29">IF($R225&gt;$F$168,0.0000000005,J225)</f>
        <v>4.0339285714285715</v>
      </c>
      <c r="T225" s="28">
        <f t="shared" ref="T225:T240" si="30">IF($R225&gt;$F$168,0.0000000005,K225)</f>
        <v>5.378571428571429</v>
      </c>
      <c r="U225" s="28">
        <f t="shared" ref="U225:U240" si="31">IF($R225&gt;$F$168,0.0000000005,L225)</f>
        <v>6.7232142857142865</v>
      </c>
      <c r="V225" s="28">
        <f t="shared" si="23"/>
        <v>10.000614783502161</v>
      </c>
    </row>
    <row r="226" spans="2:22" x14ac:dyDescent="0.2">
      <c r="B226">
        <f t="shared" si="10"/>
        <v>226.89999999999998</v>
      </c>
      <c r="D226" s="5">
        <v>43</v>
      </c>
      <c r="E226" s="28">
        <f t="shared" si="11"/>
        <v>3.9575581395348838</v>
      </c>
      <c r="F226" s="28">
        <f t="shared" si="24"/>
        <v>5.2767441860465114</v>
      </c>
      <c r="G226" s="28">
        <f t="shared" si="12"/>
        <v>6.595930232558139</v>
      </c>
      <c r="I226" s="5">
        <v>43</v>
      </c>
      <c r="J226" s="28">
        <f t="shared" si="13"/>
        <v>3.9575581395348838</v>
      </c>
      <c r="K226" s="28">
        <f t="shared" si="14"/>
        <v>5.2767441860465114</v>
      </c>
      <c r="L226" s="28">
        <f t="shared" si="15"/>
        <v>6.595930232558139</v>
      </c>
      <c r="R226" s="5">
        <v>43</v>
      </c>
      <c r="S226" s="28">
        <f t="shared" si="29"/>
        <v>3.9575581395348838</v>
      </c>
      <c r="T226" s="28">
        <f t="shared" si="30"/>
        <v>5.2767441860465114</v>
      </c>
      <c r="U226" s="28">
        <f t="shared" si="31"/>
        <v>6.595930232558139</v>
      </c>
      <c r="V226" s="28">
        <f t="shared" si="23"/>
        <v>9.7680423466765287</v>
      </c>
    </row>
    <row r="227" spans="2:22" x14ac:dyDescent="0.2">
      <c r="B227">
        <f t="shared" si="10"/>
        <v>227.9</v>
      </c>
      <c r="D227" s="5">
        <v>44</v>
      </c>
      <c r="E227" s="28">
        <f t="shared" si="11"/>
        <v>3.884659090909091</v>
      </c>
      <c r="F227" s="28">
        <f t="shared" si="24"/>
        <v>5.1795454545454547</v>
      </c>
      <c r="G227" s="28">
        <f t="shared" si="12"/>
        <v>6.4744318181818183</v>
      </c>
      <c r="I227" s="5">
        <v>44</v>
      </c>
      <c r="J227" s="28">
        <f t="shared" si="13"/>
        <v>3.884659090909091</v>
      </c>
      <c r="K227" s="28">
        <f t="shared" si="14"/>
        <v>5.1795454545454547</v>
      </c>
      <c r="L227" s="28">
        <f t="shared" si="15"/>
        <v>6.4744318181818183</v>
      </c>
      <c r="R227" s="5">
        <v>44</v>
      </c>
      <c r="S227" s="28">
        <f t="shared" si="29"/>
        <v>3.884659090909091</v>
      </c>
      <c r="T227" s="28">
        <f t="shared" si="30"/>
        <v>5.1795454545454547</v>
      </c>
      <c r="U227" s="28">
        <f t="shared" si="31"/>
        <v>6.4744318181818183</v>
      </c>
      <c r="V227" s="28">
        <f t="shared" si="23"/>
        <v>9.5460413842520619</v>
      </c>
    </row>
    <row r="228" spans="2:22" x14ac:dyDescent="0.2">
      <c r="B228">
        <f t="shared" si="10"/>
        <v>228.9</v>
      </c>
      <c r="D228" s="5">
        <v>45</v>
      </c>
      <c r="E228" s="28">
        <f t="shared" si="11"/>
        <v>3.8150000000000004</v>
      </c>
      <c r="F228" s="28">
        <f t="shared" si="24"/>
        <v>5.0866666666666669</v>
      </c>
      <c r="G228" s="28">
        <f t="shared" si="12"/>
        <v>6.3583333333333334</v>
      </c>
      <c r="I228" s="5">
        <v>45</v>
      </c>
      <c r="J228" s="28">
        <f t="shared" si="13"/>
        <v>3.8150000000000004</v>
      </c>
      <c r="K228" s="28">
        <f t="shared" si="14"/>
        <v>5.0866666666666669</v>
      </c>
      <c r="L228" s="28">
        <f t="shared" si="15"/>
        <v>6.3583333333333334</v>
      </c>
      <c r="R228" s="5">
        <v>45</v>
      </c>
      <c r="S228" s="28">
        <f t="shared" si="29"/>
        <v>3.8150000000000004</v>
      </c>
      <c r="T228" s="28">
        <f t="shared" si="30"/>
        <v>5.0866666666666669</v>
      </c>
      <c r="U228" s="28">
        <f t="shared" si="31"/>
        <v>6.3583333333333334</v>
      </c>
      <c r="V228" s="28">
        <f t="shared" si="23"/>
        <v>9.333907131268683</v>
      </c>
    </row>
    <row r="229" spans="2:22" x14ac:dyDescent="0.2">
      <c r="B229">
        <f t="shared" si="10"/>
        <v>229.9</v>
      </c>
      <c r="D229" s="5">
        <v>46</v>
      </c>
      <c r="E229" s="28">
        <f t="shared" si="11"/>
        <v>3.7483695652173914</v>
      </c>
      <c r="F229" s="28">
        <f t="shared" si="24"/>
        <v>4.9978260869565219</v>
      </c>
      <c r="G229" s="28">
        <f t="shared" si="12"/>
        <v>6.2472826086956523</v>
      </c>
      <c r="I229" s="5">
        <v>46</v>
      </c>
      <c r="J229" s="28">
        <f t="shared" si="13"/>
        <v>3.7483695652173914</v>
      </c>
      <c r="K229" s="28">
        <f t="shared" si="14"/>
        <v>4.9978260869565219</v>
      </c>
      <c r="L229" s="28">
        <f t="shared" si="15"/>
        <v>6.2472826086956523</v>
      </c>
      <c r="R229" s="5">
        <v>46</v>
      </c>
      <c r="S229" s="28">
        <f t="shared" si="29"/>
        <v>3.7483695652173914</v>
      </c>
      <c r="T229" s="28">
        <f t="shared" si="30"/>
        <v>4.9978260869565219</v>
      </c>
      <c r="U229" s="28">
        <f t="shared" si="31"/>
        <v>6.2472826086956523</v>
      </c>
      <c r="V229" s="28">
        <f t="shared" si="23"/>
        <v>9.1309961066758856</v>
      </c>
    </row>
    <row r="230" spans="2:22" x14ac:dyDescent="0.2">
      <c r="B230">
        <f t="shared" si="10"/>
        <v>230.89999999999998</v>
      </c>
      <c r="D230" s="5">
        <v>47</v>
      </c>
      <c r="E230" s="28">
        <f t="shared" si="11"/>
        <v>3.6845744680851062</v>
      </c>
      <c r="F230" s="28">
        <f t="shared" si="24"/>
        <v>4.9127659574468083</v>
      </c>
      <c r="G230" s="28">
        <f t="shared" si="12"/>
        <v>6.1409574468085104</v>
      </c>
      <c r="I230" s="5">
        <v>47</v>
      </c>
      <c r="J230" s="28">
        <f t="shared" si="13"/>
        <v>3.6845744680851062</v>
      </c>
      <c r="K230" s="28">
        <f t="shared" si="14"/>
        <v>4.9127659574468083</v>
      </c>
      <c r="L230" s="28">
        <f t="shared" si="15"/>
        <v>6.1409574468085104</v>
      </c>
      <c r="R230" s="5">
        <v>47</v>
      </c>
      <c r="S230" s="28">
        <f t="shared" si="29"/>
        <v>3.6845744680851062</v>
      </c>
      <c r="T230" s="28">
        <f t="shared" si="30"/>
        <v>4.9127659574468083</v>
      </c>
      <c r="U230" s="28">
        <f t="shared" si="31"/>
        <v>6.1409574468085104</v>
      </c>
      <c r="V230" s="28">
        <f t="shared" si="23"/>
        <v>8.9367195937678883</v>
      </c>
    </row>
    <row r="231" spans="2:22" x14ac:dyDescent="0.2">
      <c r="B231">
        <f t="shared" si="10"/>
        <v>231.89999999999998</v>
      </c>
      <c r="D231" s="5">
        <v>48</v>
      </c>
      <c r="E231" s="28">
        <f t="shared" si="11"/>
        <v>3.6234374999999996</v>
      </c>
      <c r="F231" s="28">
        <f t="shared" si="24"/>
        <v>4.8312499999999998</v>
      </c>
      <c r="G231" s="28">
        <f t="shared" si="12"/>
        <v>6.0390625</v>
      </c>
      <c r="I231" s="5">
        <v>48</v>
      </c>
      <c r="J231" s="28">
        <f t="shared" si="13"/>
        <v>3.6234374999999996</v>
      </c>
      <c r="K231" s="28">
        <f t="shared" si="14"/>
        <v>4.8312499999999998</v>
      </c>
      <c r="L231" s="28">
        <f t="shared" si="15"/>
        <v>6.0390625</v>
      </c>
      <c r="R231" s="5">
        <v>48</v>
      </c>
      <c r="S231" s="28">
        <f t="shared" si="29"/>
        <v>3.6234374999999996</v>
      </c>
      <c r="T231" s="28">
        <f t="shared" si="30"/>
        <v>4.8312499999999998</v>
      </c>
      <c r="U231" s="28">
        <f t="shared" si="31"/>
        <v>6.0390625</v>
      </c>
      <c r="V231" s="28">
        <f t="shared" si="23"/>
        <v>8.75053793556439</v>
      </c>
    </row>
    <row r="232" spans="2:22" x14ac:dyDescent="0.2">
      <c r="B232">
        <f t="shared" si="10"/>
        <v>232.9</v>
      </c>
      <c r="D232" s="5">
        <v>49</v>
      </c>
      <c r="E232" s="28">
        <f t="shared" si="11"/>
        <v>3.5647959183673472</v>
      </c>
      <c r="F232" s="28">
        <f t="shared" si="24"/>
        <v>4.7530612244897963</v>
      </c>
      <c r="G232" s="28">
        <f t="shared" si="12"/>
        <v>5.9413265306122458</v>
      </c>
      <c r="I232" s="5">
        <v>49</v>
      </c>
      <c r="J232" s="28">
        <f t="shared" si="13"/>
        <v>3.5647959183673472</v>
      </c>
      <c r="K232" s="28">
        <f t="shared" si="14"/>
        <v>4.7530612244897963</v>
      </c>
      <c r="L232" s="28">
        <f t="shared" si="15"/>
        <v>5.9413265306122458</v>
      </c>
      <c r="R232" s="5">
        <v>49</v>
      </c>
      <c r="S232" s="28">
        <f t="shared" si="29"/>
        <v>3.5647959183673472</v>
      </c>
      <c r="T232" s="28">
        <f t="shared" si="30"/>
        <v>4.7530612244897963</v>
      </c>
      <c r="U232" s="28">
        <f t="shared" si="31"/>
        <v>5.9413265306122458</v>
      </c>
      <c r="V232" s="28">
        <f t="shared" si="23"/>
        <v>8.5719555287161384</v>
      </c>
    </row>
    <row r="233" spans="2:22" x14ac:dyDescent="0.2">
      <c r="B233">
        <f t="shared" si="10"/>
        <v>233.9</v>
      </c>
      <c r="D233" s="5">
        <v>50</v>
      </c>
      <c r="E233" s="28">
        <f t="shared" si="11"/>
        <v>3.5084999999999997</v>
      </c>
      <c r="F233" s="28">
        <f t="shared" si="24"/>
        <v>4.6779999999999999</v>
      </c>
      <c r="G233" s="28">
        <f t="shared" si="12"/>
        <v>5.8475000000000001</v>
      </c>
      <c r="I233" s="5">
        <v>50</v>
      </c>
      <c r="J233" s="28">
        <f t="shared" si="13"/>
        <v>3.5084999999999997</v>
      </c>
      <c r="K233" s="28">
        <f t="shared" si="14"/>
        <v>4.6779999999999999</v>
      </c>
      <c r="L233" s="28">
        <f t="shared" si="15"/>
        <v>5.8475000000000001</v>
      </c>
      <c r="R233" s="5">
        <v>50</v>
      </c>
      <c r="S233" s="28">
        <f t="shared" si="29"/>
        <v>3.5084999999999997</v>
      </c>
      <c r="T233" s="28">
        <f t="shared" si="30"/>
        <v>4.6779999999999999</v>
      </c>
      <c r="U233" s="28">
        <f t="shared" si="31"/>
        <v>5.8475000000000001</v>
      </c>
      <c r="V233" s="28">
        <f t="shared" si="23"/>
        <v>8.4005164181418142</v>
      </c>
    </row>
    <row r="234" spans="2:22" x14ac:dyDescent="0.2">
      <c r="B234">
        <f t="shared" si="10"/>
        <v>234.90000000000003</v>
      </c>
      <c r="D234" s="5">
        <v>51</v>
      </c>
      <c r="E234" s="28">
        <f t="shared" si="11"/>
        <v>3.454411764705883</v>
      </c>
      <c r="F234" s="28">
        <f t="shared" si="24"/>
        <v>4.605882352941177</v>
      </c>
      <c r="G234" s="28">
        <f t="shared" si="12"/>
        <v>5.757352941176471</v>
      </c>
      <c r="I234" s="5">
        <v>51</v>
      </c>
      <c r="J234" s="28">
        <f t="shared" si="13"/>
        <v>3.454411764705883</v>
      </c>
      <c r="K234" s="28">
        <f t="shared" si="14"/>
        <v>4.605882352941177</v>
      </c>
      <c r="L234" s="28">
        <f t="shared" si="15"/>
        <v>5.757352941176471</v>
      </c>
      <c r="R234" s="5">
        <v>51</v>
      </c>
      <c r="S234" s="28">
        <f t="shared" si="29"/>
        <v>3.454411764705883</v>
      </c>
      <c r="T234" s="28">
        <f t="shared" si="30"/>
        <v>4.605882352941177</v>
      </c>
      <c r="U234" s="28">
        <f t="shared" si="31"/>
        <v>5.757352941176471</v>
      </c>
      <c r="V234" s="28">
        <f t="shared" si="23"/>
        <v>8.2358004099429554</v>
      </c>
    </row>
    <row r="235" spans="2:22" x14ac:dyDescent="0.2">
      <c r="B235">
        <f t="shared" si="10"/>
        <v>235.9</v>
      </c>
      <c r="D235" s="5">
        <v>52</v>
      </c>
      <c r="E235" s="28">
        <f t="shared" si="11"/>
        <v>3.4024038461538462</v>
      </c>
      <c r="F235" s="28">
        <f t="shared" si="24"/>
        <v>4.5365384615384619</v>
      </c>
      <c r="G235" s="28">
        <f t="shared" si="12"/>
        <v>5.6706730769230775</v>
      </c>
      <c r="I235" s="5">
        <v>52</v>
      </c>
      <c r="J235" s="28">
        <f t="shared" si="13"/>
        <v>3.4024038461538462</v>
      </c>
      <c r="K235" s="28">
        <f t="shared" si="14"/>
        <v>4.5365384615384619</v>
      </c>
      <c r="L235" s="28">
        <f t="shared" si="15"/>
        <v>5.6706730769230775</v>
      </c>
      <c r="R235" s="5">
        <v>52</v>
      </c>
      <c r="S235" s="28">
        <f t="shared" si="29"/>
        <v>3.4024038461538462</v>
      </c>
      <c r="T235" s="28">
        <f t="shared" si="30"/>
        <v>4.5365384615384619</v>
      </c>
      <c r="U235" s="28">
        <f t="shared" si="31"/>
        <v>5.6706730769230775</v>
      </c>
      <c r="V235" s="28">
        <f t="shared" si="23"/>
        <v>8.0774196328286685</v>
      </c>
    </row>
    <row r="236" spans="2:22" x14ac:dyDescent="0.2">
      <c r="B236">
        <f t="shared" si="10"/>
        <v>236.9</v>
      </c>
      <c r="D236" s="5">
        <v>53</v>
      </c>
      <c r="E236" s="28">
        <f t="shared" si="11"/>
        <v>3.3523584905660377</v>
      </c>
      <c r="F236" s="28">
        <f t="shared" si="24"/>
        <v>4.469811320754717</v>
      </c>
      <c r="G236" s="28">
        <f t="shared" si="12"/>
        <v>5.5872641509433958</v>
      </c>
      <c r="I236" s="5">
        <v>53</v>
      </c>
      <c r="J236" s="28">
        <f t="shared" si="13"/>
        <v>3.3523584905660377</v>
      </c>
      <c r="K236" s="28">
        <f t="shared" si="14"/>
        <v>4.469811320754717</v>
      </c>
      <c r="L236" s="28">
        <f t="shared" si="15"/>
        <v>5.5872641509433958</v>
      </c>
      <c r="R236" s="5">
        <v>53</v>
      </c>
      <c r="S236" s="28">
        <f t="shared" si="29"/>
        <v>3.3523584905660377</v>
      </c>
      <c r="T236" s="28">
        <f t="shared" si="30"/>
        <v>4.469811320754717</v>
      </c>
      <c r="U236" s="28">
        <f t="shared" si="31"/>
        <v>5.5872641509433958</v>
      </c>
      <c r="V236" s="28">
        <f t="shared" si="23"/>
        <v>7.9250154888130329</v>
      </c>
    </row>
    <row r="237" spans="2:22" x14ac:dyDescent="0.2">
      <c r="B237">
        <f t="shared" si="10"/>
        <v>237.9</v>
      </c>
      <c r="D237" s="5">
        <v>54</v>
      </c>
      <c r="E237" s="28">
        <f t="shared" si="11"/>
        <v>3.3041666666666671</v>
      </c>
      <c r="F237" s="28">
        <f t="shared" si="24"/>
        <v>4.4055555555555559</v>
      </c>
      <c r="G237" s="28">
        <f t="shared" si="12"/>
        <v>5.5069444444444446</v>
      </c>
      <c r="I237" s="5">
        <v>54</v>
      </c>
      <c r="J237" s="28">
        <f t="shared" si="13"/>
        <v>3.3041666666666671</v>
      </c>
      <c r="K237" s="28">
        <f t="shared" si="14"/>
        <v>4.4055555555555559</v>
      </c>
      <c r="L237" s="28">
        <f t="shared" si="15"/>
        <v>5.5069444444444446</v>
      </c>
      <c r="R237" s="5">
        <v>54</v>
      </c>
      <c r="S237" s="28">
        <f t="shared" si="29"/>
        <v>3.3041666666666671</v>
      </c>
      <c r="T237" s="28">
        <f t="shared" si="30"/>
        <v>4.4055555555555559</v>
      </c>
      <c r="U237" s="28">
        <f t="shared" si="31"/>
        <v>5.5069444444444446</v>
      </c>
      <c r="V237" s="28">
        <f t="shared" si="23"/>
        <v>7.7782559427239031</v>
      </c>
    </row>
    <row r="238" spans="2:22" x14ac:dyDescent="0.2">
      <c r="B238">
        <f t="shared" si="10"/>
        <v>238.9</v>
      </c>
      <c r="D238" s="5">
        <v>55</v>
      </c>
      <c r="E238" s="28">
        <f t="shared" si="11"/>
        <v>3.2577272727272728</v>
      </c>
      <c r="F238" s="28">
        <f t="shared" si="24"/>
        <v>4.3436363636363637</v>
      </c>
      <c r="G238" s="28">
        <f t="shared" si="12"/>
        <v>5.4295454545454547</v>
      </c>
      <c r="I238" s="5">
        <v>55</v>
      </c>
      <c r="J238" s="28">
        <f t="shared" si="13"/>
        <v>3.2577272727272728</v>
      </c>
      <c r="K238" s="28">
        <f t="shared" si="14"/>
        <v>4.3436363636363637</v>
      </c>
      <c r="L238" s="28">
        <f t="shared" si="15"/>
        <v>5.4295454545454547</v>
      </c>
      <c r="R238" s="5">
        <v>55</v>
      </c>
      <c r="S238" s="28">
        <f t="shared" si="29"/>
        <v>3.2577272727272728</v>
      </c>
      <c r="T238" s="28">
        <f t="shared" si="30"/>
        <v>4.3436363636363637</v>
      </c>
      <c r="U238" s="28">
        <f t="shared" si="31"/>
        <v>5.4295454545454547</v>
      </c>
      <c r="V238" s="28">
        <f t="shared" si="23"/>
        <v>7.6368331074016496</v>
      </c>
    </row>
    <row r="239" spans="2:22" x14ac:dyDescent="0.2">
      <c r="B239">
        <f t="shared" si="10"/>
        <v>239.9</v>
      </c>
      <c r="D239" s="5">
        <v>56</v>
      </c>
      <c r="E239" s="28">
        <f t="shared" si="11"/>
        <v>3.2129464285714286</v>
      </c>
      <c r="F239" s="28">
        <f t="shared" si="24"/>
        <v>4.2839285714285715</v>
      </c>
      <c r="G239" s="28">
        <f t="shared" si="12"/>
        <v>5.3549107142857144</v>
      </c>
      <c r="I239" s="5">
        <v>56</v>
      </c>
      <c r="J239" s="28">
        <f t="shared" si="13"/>
        <v>3.2129464285714286</v>
      </c>
      <c r="K239" s="28">
        <f t="shared" si="14"/>
        <v>4.2839285714285715</v>
      </c>
      <c r="L239" s="28">
        <f t="shared" si="15"/>
        <v>5.3549107142857144</v>
      </c>
      <c r="R239" s="5">
        <v>56</v>
      </c>
      <c r="S239" s="28">
        <f t="shared" si="29"/>
        <v>3.2129464285714286</v>
      </c>
      <c r="T239" s="28">
        <f t="shared" si="30"/>
        <v>4.2839285714285715</v>
      </c>
      <c r="U239" s="28">
        <f t="shared" si="31"/>
        <v>5.3549107142857144</v>
      </c>
      <c r="V239" s="28">
        <f t="shared" si="23"/>
        <v>7.5004610876266202</v>
      </c>
    </row>
    <row r="240" spans="2:22" x14ac:dyDescent="0.2">
      <c r="B240">
        <f t="shared" si="10"/>
        <v>240.9</v>
      </c>
      <c r="D240" s="5">
        <v>57</v>
      </c>
      <c r="E240" s="28">
        <f t="shared" si="11"/>
        <v>3.1697368421052632</v>
      </c>
      <c r="F240" s="28">
        <f t="shared" si="24"/>
        <v>4.2263157894736842</v>
      </c>
      <c r="G240" s="28">
        <f t="shared" si="12"/>
        <v>5.2828947368421053</v>
      </c>
      <c r="I240" s="5">
        <v>57</v>
      </c>
      <c r="J240" s="28">
        <f t="shared" si="13"/>
        <v>3.1697368421052632</v>
      </c>
      <c r="K240" s="28">
        <f t="shared" si="14"/>
        <v>4.2263157894736842</v>
      </c>
      <c r="L240" s="28">
        <f t="shared" si="15"/>
        <v>5.2828947368421053</v>
      </c>
      <c r="R240" s="5">
        <v>57</v>
      </c>
      <c r="S240" s="28">
        <f t="shared" si="29"/>
        <v>3.1697368421052632</v>
      </c>
      <c r="T240" s="28">
        <f t="shared" si="30"/>
        <v>4.2263157894736842</v>
      </c>
      <c r="U240" s="28">
        <f t="shared" si="31"/>
        <v>5.2828947368421053</v>
      </c>
      <c r="V240" s="28">
        <f t="shared" si="23"/>
        <v>7.3688740510015922</v>
      </c>
    </row>
    <row r="241" spans="2:22" x14ac:dyDescent="0.2">
      <c r="B241">
        <f t="shared" si="10"/>
        <v>241.89999999999998</v>
      </c>
      <c r="D241" s="5">
        <v>58</v>
      </c>
      <c r="E241" s="28">
        <f t="shared" si="11"/>
        <v>3.1280172413793101</v>
      </c>
      <c r="F241" s="28">
        <f t="shared" si="24"/>
        <v>4.1706896551724135</v>
      </c>
      <c r="G241" s="28">
        <f t="shared" si="12"/>
        <v>5.2133620689655169</v>
      </c>
      <c r="I241" s="5">
        <v>58</v>
      </c>
      <c r="J241" s="28">
        <f t="shared" si="13"/>
        <v>3.1280172413793101</v>
      </c>
      <c r="K241" s="28">
        <f t="shared" si="14"/>
        <v>4.1706896551724135</v>
      </c>
      <c r="L241" s="28">
        <f t="shared" si="15"/>
        <v>5.2133620689655169</v>
      </c>
      <c r="R241" s="26">
        <v>58</v>
      </c>
      <c r="S241" s="28">
        <f t="shared" ref="S241:S263" si="32">IF($R241&gt;$F$168,0.0000000005,J241)</f>
        <v>3.1280172413793101</v>
      </c>
      <c r="T241" s="28">
        <f t="shared" ref="T241:T263" si="33">IF($R241&gt;$F$168,0.0000000005,K241)</f>
        <v>4.1706896551724135</v>
      </c>
      <c r="U241" s="28">
        <f t="shared" ref="U241:U263" si="34">IF($R241&gt;$F$168,0.0000000005,L241)</f>
        <v>5.2133620689655169</v>
      </c>
      <c r="V241" s="28">
        <f t="shared" ref="V241:V263" si="35">$X$184/R241</f>
        <v>7.2418244983981159</v>
      </c>
    </row>
    <row r="242" spans="2:22" x14ac:dyDescent="0.2">
      <c r="B242">
        <f t="shared" si="10"/>
        <v>242.90000000000003</v>
      </c>
      <c r="D242" s="5">
        <v>59</v>
      </c>
      <c r="E242" s="28">
        <f t="shared" si="11"/>
        <v>3.08771186440678</v>
      </c>
      <c r="F242" s="28">
        <f t="shared" si="24"/>
        <v>4.1169491525423734</v>
      </c>
      <c r="G242" s="28">
        <f t="shared" si="12"/>
        <v>5.1461864406779672</v>
      </c>
      <c r="I242" s="5">
        <v>59</v>
      </c>
      <c r="J242" s="28">
        <f t="shared" si="13"/>
        <v>3.08771186440678</v>
      </c>
      <c r="K242" s="28">
        <f t="shared" si="14"/>
        <v>4.1169491525423734</v>
      </c>
      <c r="L242" s="28">
        <f t="shared" si="15"/>
        <v>5.1461864406779672</v>
      </c>
      <c r="R242" s="26">
        <v>59</v>
      </c>
      <c r="S242" s="28">
        <f t="shared" si="32"/>
        <v>3.08771186440678</v>
      </c>
      <c r="T242" s="28">
        <f t="shared" si="33"/>
        <v>4.1169491525423734</v>
      </c>
      <c r="U242" s="28">
        <f t="shared" si="34"/>
        <v>5.1461864406779672</v>
      </c>
      <c r="V242" s="28">
        <f t="shared" si="35"/>
        <v>7.1190817102896737</v>
      </c>
    </row>
    <row r="243" spans="2:22" x14ac:dyDescent="0.2">
      <c r="B243">
        <f t="shared" si="10"/>
        <v>243.90000000000003</v>
      </c>
      <c r="D243" s="5">
        <v>60</v>
      </c>
      <c r="E243" s="28">
        <f t="shared" si="11"/>
        <v>3.0487500000000001</v>
      </c>
      <c r="F243" s="28">
        <f t="shared" si="24"/>
        <v>4.0650000000000004</v>
      </c>
      <c r="G243" s="28">
        <f t="shared" si="12"/>
        <v>5.0812500000000007</v>
      </c>
      <c r="I243" s="5">
        <v>60</v>
      </c>
      <c r="J243" s="28">
        <f t="shared" si="13"/>
        <v>3.0487500000000001</v>
      </c>
      <c r="K243" s="28">
        <f t="shared" si="14"/>
        <v>4.0650000000000004</v>
      </c>
      <c r="L243" s="28">
        <f t="shared" si="15"/>
        <v>5.0812500000000007</v>
      </c>
      <c r="R243" s="26">
        <v>60</v>
      </c>
      <c r="S243" s="28">
        <f t="shared" si="32"/>
        <v>3.0487500000000001</v>
      </c>
      <c r="T243" s="28">
        <f t="shared" si="33"/>
        <v>4.0650000000000004</v>
      </c>
      <c r="U243" s="28">
        <f t="shared" si="34"/>
        <v>5.0812500000000007</v>
      </c>
      <c r="V243" s="28">
        <f t="shared" si="35"/>
        <v>7.0004303484515127</v>
      </c>
    </row>
    <row r="244" spans="2:22" x14ac:dyDescent="0.2">
      <c r="B244">
        <f t="shared" si="10"/>
        <v>244.89999999999998</v>
      </c>
      <c r="D244" s="5">
        <v>61</v>
      </c>
      <c r="E244" s="28">
        <f t="shared" si="11"/>
        <v>3.0110655737704919</v>
      </c>
      <c r="F244" s="28">
        <f t="shared" si="24"/>
        <v>4.0147540983606556</v>
      </c>
      <c r="G244" s="28">
        <f t="shared" si="12"/>
        <v>5.0184426229508192</v>
      </c>
      <c r="I244" s="5">
        <v>61</v>
      </c>
      <c r="J244" s="28">
        <f t="shared" si="13"/>
        <v>3.0110655737704919</v>
      </c>
      <c r="K244" s="28">
        <f t="shared" si="14"/>
        <v>4.0147540983606556</v>
      </c>
      <c r="L244" s="28">
        <f t="shared" si="15"/>
        <v>5.0184426229508192</v>
      </c>
      <c r="R244" s="5">
        <v>61</v>
      </c>
      <c r="S244" s="28">
        <f t="shared" si="32"/>
        <v>5.0000000000000003E-10</v>
      </c>
      <c r="T244" s="28">
        <f t="shared" si="33"/>
        <v>5.0000000000000003E-10</v>
      </c>
      <c r="U244" s="28">
        <f t="shared" si="34"/>
        <v>5.0000000000000003E-10</v>
      </c>
      <c r="V244" s="28">
        <f t="shared" si="35"/>
        <v>6.8856691951982087</v>
      </c>
    </row>
    <row r="245" spans="2:22" x14ac:dyDescent="0.2">
      <c r="B245">
        <f t="shared" si="10"/>
        <v>245.9</v>
      </c>
      <c r="D245" s="5">
        <v>62</v>
      </c>
      <c r="E245" s="28">
        <f t="shared" si="11"/>
        <v>2.9745967741935484</v>
      </c>
      <c r="F245" s="28">
        <f t="shared" si="24"/>
        <v>3.9661290322580647</v>
      </c>
      <c r="G245" s="28">
        <f t="shared" si="12"/>
        <v>4.957661290322581</v>
      </c>
      <c r="I245" s="5">
        <v>62</v>
      </c>
      <c r="J245" s="28">
        <f t="shared" si="13"/>
        <v>2.9745967741935484</v>
      </c>
      <c r="K245" s="28">
        <f t="shared" si="14"/>
        <v>3.9661290322580647</v>
      </c>
      <c r="L245" s="28">
        <f t="shared" si="15"/>
        <v>4.957661290322581</v>
      </c>
      <c r="R245" s="5">
        <v>62</v>
      </c>
      <c r="S245" s="28">
        <f t="shared" si="32"/>
        <v>5.0000000000000003E-10</v>
      </c>
      <c r="T245" s="28">
        <f t="shared" si="33"/>
        <v>5.0000000000000003E-10</v>
      </c>
      <c r="U245" s="28">
        <f t="shared" si="34"/>
        <v>5.0000000000000003E-10</v>
      </c>
      <c r="V245" s="28">
        <f t="shared" si="35"/>
        <v>6.7746100146304959</v>
      </c>
    </row>
    <row r="246" spans="2:22" x14ac:dyDescent="0.2">
      <c r="B246">
        <f t="shared" si="10"/>
        <v>246.9</v>
      </c>
      <c r="D246" s="5">
        <v>63</v>
      </c>
      <c r="E246" s="28">
        <f t="shared" si="11"/>
        <v>2.9392857142857145</v>
      </c>
      <c r="F246" s="28">
        <f t="shared" si="24"/>
        <v>3.9190476190476193</v>
      </c>
      <c r="G246" s="28">
        <f t="shared" si="12"/>
        <v>4.8988095238095237</v>
      </c>
      <c r="I246" s="5">
        <v>63</v>
      </c>
      <c r="J246" s="28">
        <f t="shared" si="13"/>
        <v>2.9392857142857145</v>
      </c>
      <c r="K246" s="28">
        <f t="shared" si="14"/>
        <v>3.9190476190476193</v>
      </c>
      <c r="L246" s="28">
        <f t="shared" si="15"/>
        <v>4.8988095238095237</v>
      </c>
      <c r="R246" s="5">
        <v>63</v>
      </c>
      <c r="S246" s="28">
        <f t="shared" si="32"/>
        <v>5.0000000000000003E-10</v>
      </c>
      <c r="T246" s="28">
        <f t="shared" si="33"/>
        <v>5.0000000000000003E-10</v>
      </c>
      <c r="U246" s="28">
        <f t="shared" si="34"/>
        <v>5.0000000000000003E-10</v>
      </c>
      <c r="V246" s="28">
        <f t="shared" si="35"/>
        <v>6.6670765223347734</v>
      </c>
    </row>
    <row r="247" spans="2:22" x14ac:dyDescent="0.2">
      <c r="B247">
        <f t="shared" si="10"/>
        <v>247.9</v>
      </c>
      <c r="D247" s="5">
        <v>64</v>
      </c>
      <c r="E247" s="28">
        <f t="shared" si="11"/>
        <v>2.9050781250000002</v>
      </c>
      <c r="F247" s="28">
        <f t="shared" si="24"/>
        <v>3.8734375000000001</v>
      </c>
      <c r="G247" s="28">
        <f t="shared" si="12"/>
        <v>4.841796875</v>
      </c>
      <c r="I247" s="5">
        <v>64</v>
      </c>
      <c r="J247" s="28">
        <f t="shared" si="13"/>
        <v>2.9050781250000002</v>
      </c>
      <c r="K247" s="28">
        <f t="shared" si="14"/>
        <v>3.8734375000000001</v>
      </c>
      <c r="L247" s="28">
        <f t="shared" si="15"/>
        <v>4.841796875</v>
      </c>
      <c r="R247" s="5">
        <v>64</v>
      </c>
      <c r="S247" s="28">
        <f t="shared" si="32"/>
        <v>5.0000000000000003E-10</v>
      </c>
      <c r="T247" s="28">
        <f t="shared" si="33"/>
        <v>5.0000000000000003E-10</v>
      </c>
      <c r="U247" s="28">
        <f t="shared" si="34"/>
        <v>5.0000000000000003E-10</v>
      </c>
      <c r="V247" s="28">
        <f t="shared" si="35"/>
        <v>6.5629034516732929</v>
      </c>
    </row>
    <row r="248" spans="2:22" x14ac:dyDescent="0.2">
      <c r="B248">
        <f t="shared" si="10"/>
        <v>248.9</v>
      </c>
      <c r="D248" s="5">
        <v>65</v>
      </c>
      <c r="E248" s="28">
        <f t="shared" si="11"/>
        <v>2.871923076923077</v>
      </c>
      <c r="F248" s="28">
        <f t="shared" ref="F248:F263" si="36">($F$175+(D248-VINMAX)*$E$268/$E$269)/D248</f>
        <v>3.8292307692307692</v>
      </c>
      <c r="G248" s="28">
        <f t="shared" si="12"/>
        <v>4.7865384615384619</v>
      </c>
      <c r="I248" s="5">
        <v>65</v>
      </c>
      <c r="J248" s="28">
        <f t="shared" si="13"/>
        <v>2.871923076923077</v>
      </c>
      <c r="K248" s="28">
        <f t="shared" si="14"/>
        <v>3.8292307692307692</v>
      </c>
      <c r="L248" s="28">
        <f t="shared" si="15"/>
        <v>4.7865384615384619</v>
      </c>
      <c r="R248" s="5">
        <v>65</v>
      </c>
      <c r="S248" s="28">
        <f t="shared" si="32"/>
        <v>5.0000000000000003E-10</v>
      </c>
      <c r="T248" s="28">
        <f t="shared" si="33"/>
        <v>5.0000000000000003E-10</v>
      </c>
      <c r="U248" s="28">
        <f t="shared" si="34"/>
        <v>5.0000000000000003E-10</v>
      </c>
      <c r="V248" s="28">
        <f t="shared" si="35"/>
        <v>6.4619357062629348</v>
      </c>
    </row>
    <row r="249" spans="2:22" x14ac:dyDescent="0.2">
      <c r="B249">
        <f t="shared" ref="B249:B263" si="37">D249*F249</f>
        <v>249.9</v>
      </c>
      <c r="D249" s="5">
        <v>66</v>
      </c>
      <c r="E249" s="28">
        <f t="shared" si="11"/>
        <v>2.8397727272727273</v>
      </c>
      <c r="F249" s="28">
        <f t="shared" si="36"/>
        <v>3.7863636363636366</v>
      </c>
      <c r="G249" s="28">
        <f t="shared" si="12"/>
        <v>4.7329545454545459</v>
      </c>
      <c r="I249" s="5">
        <v>66</v>
      </c>
      <c r="J249" s="28">
        <f t="shared" si="13"/>
        <v>2.8397727272727273</v>
      </c>
      <c r="K249" s="28">
        <f t="shared" si="14"/>
        <v>3.7863636363636366</v>
      </c>
      <c r="L249" s="28">
        <f t="shared" si="15"/>
        <v>4.7329545454545459</v>
      </c>
      <c r="R249" s="5">
        <v>66</v>
      </c>
      <c r="S249" s="28">
        <f t="shared" si="32"/>
        <v>5.0000000000000003E-10</v>
      </c>
      <c r="T249" s="28">
        <f t="shared" si="33"/>
        <v>5.0000000000000003E-10</v>
      </c>
      <c r="U249" s="28">
        <f t="shared" si="34"/>
        <v>5.0000000000000003E-10</v>
      </c>
      <c r="V249" s="28">
        <f t="shared" si="35"/>
        <v>6.3640275895013749</v>
      </c>
    </row>
    <row r="250" spans="2:22" x14ac:dyDescent="0.2">
      <c r="B250">
        <f t="shared" si="37"/>
        <v>250.9</v>
      </c>
      <c r="D250" s="5">
        <v>67</v>
      </c>
      <c r="E250" s="28">
        <f t="shared" si="11"/>
        <v>2.8085820895522389</v>
      </c>
      <c r="F250" s="28">
        <f t="shared" si="36"/>
        <v>3.7447761194029852</v>
      </c>
      <c r="G250" s="28">
        <f t="shared" si="12"/>
        <v>4.6809701492537314</v>
      </c>
      <c r="I250" s="5">
        <v>67</v>
      </c>
      <c r="J250" s="28">
        <f t="shared" si="13"/>
        <v>2.8085820895522389</v>
      </c>
      <c r="K250" s="28">
        <f t="shared" si="14"/>
        <v>3.7447761194029852</v>
      </c>
      <c r="L250" s="28">
        <f t="shared" si="15"/>
        <v>4.6809701492537314</v>
      </c>
      <c r="R250" s="5">
        <v>67</v>
      </c>
      <c r="S250" s="28">
        <f t="shared" si="32"/>
        <v>5.0000000000000003E-10</v>
      </c>
      <c r="T250" s="28">
        <f t="shared" si="33"/>
        <v>5.0000000000000003E-10</v>
      </c>
      <c r="U250" s="28">
        <f t="shared" si="34"/>
        <v>5.0000000000000003E-10</v>
      </c>
      <c r="V250" s="28">
        <f t="shared" si="35"/>
        <v>6.2690421030909063</v>
      </c>
    </row>
    <row r="251" spans="2:22" x14ac:dyDescent="0.2">
      <c r="B251">
        <f t="shared" si="37"/>
        <v>251.9</v>
      </c>
      <c r="D251" s="5">
        <v>68</v>
      </c>
      <c r="E251" s="28">
        <f t="shared" si="11"/>
        <v>2.7783088235294118</v>
      </c>
      <c r="F251" s="28">
        <f t="shared" si="36"/>
        <v>3.7044117647058825</v>
      </c>
      <c r="G251" s="28">
        <f t="shared" si="12"/>
        <v>4.6305147058823533</v>
      </c>
      <c r="I251" s="5">
        <v>68</v>
      </c>
      <c r="J251" s="28">
        <f t="shared" si="13"/>
        <v>2.7783088235294118</v>
      </c>
      <c r="K251" s="28">
        <f t="shared" si="14"/>
        <v>3.7044117647058825</v>
      </c>
      <c r="L251" s="28">
        <f t="shared" si="15"/>
        <v>4.6305147058823533</v>
      </c>
      <c r="R251" s="5">
        <v>68</v>
      </c>
      <c r="S251" s="28">
        <f t="shared" si="32"/>
        <v>5.0000000000000003E-10</v>
      </c>
      <c r="T251" s="28">
        <f t="shared" si="33"/>
        <v>5.0000000000000003E-10</v>
      </c>
      <c r="U251" s="28">
        <f t="shared" si="34"/>
        <v>5.0000000000000003E-10</v>
      </c>
      <c r="V251" s="28">
        <f t="shared" si="35"/>
        <v>6.176850307457217</v>
      </c>
    </row>
    <row r="252" spans="2:22" x14ac:dyDescent="0.2">
      <c r="B252">
        <f t="shared" si="37"/>
        <v>252.9</v>
      </c>
      <c r="D252" s="5">
        <v>69</v>
      </c>
      <c r="E252" s="28">
        <f t="shared" si="11"/>
        <v>2.7489130434782609</v>
      </c>
      <c r="F252" s="28">
        <f t="shared" si="36"/>
        <v>3.6652173913043478</v>
      </c>
      <c r="G252" s="28">
        <f t="shared" si="12"/>
        <v>4.5815217391304346</v>
      </c>
      <c r="I252" s="5">
        <v>69</v>
      </c>
      <c r="J252" s="28">
        <f t="shared" si="13"/>
        <v>2.7489130434782609</v>
      </c>
      <c r="K252" s="28">
        <f t="shared" si="14"/>
        <v>3.6652173913043478</v>
      </c>
      <c r="L252" s="28">
        <f t="shared" si="15"/>
        <v>4.5815217391304346</v>
      </c>
      <c r="R252" s="5">
        <v>69</v>
      </c>
      <c r="S252" s="28">
        <f t="shared" si="32"/>
        <v>5.0000000000000003E-10</v>
      </c>
      <c r="T252" s="28">
        <f t="shared" si="33"/>
        <v>5.0000000000000003E-10</v>
      </c>
      <c r="U252" s="28">
        <f t="shared" si="34"/>
        <v>5.0000000000000003E-10</v>
      </c>
      <c r="V252" s="28">
        <f t="shared" si="35"/>
        <v>6.0873307377839243</v>
      </c>
    </row>
    <row r="253" spans="2:22" x14ac:dyDescent="0.2">
      <c r="B253">
        <f t="shared" si="37"/>
        <v>253.9</v>
      </c>
      <c r="D253" s="5">
        <v>70</v>
      </c>
      <c r="E253" s="28">
        <f t="shared" si="11"/>
        <v>2.7203571428571429</v>
      </c>
      <c r="F253" s="28">
        <f t="shared" si="36"/>
        <v>3.6271428571428572</v>
      </c>
      <c r="G253" s="28">
        <f t="shared" si="12"/>
        <v>4.5339285714285715</v>
      </c>
      <c r="I253" s="5">
        <v>70</v>
      </c>
      <c r="J253" s="28">
        <f t="shared" si="13"/>
        <v>2.7203571428571429</v>
      </c>
      <c r="K253" s="28">
        <f t="shared" si="14"/>
        <v>3.6271428571428572</v>
      </c>
      <c r="L253" s="28">
        <f t="shared" si="15"/>
        <v>4.5339285714285715</v>
      </c>
      <c r="R253" s="5">
        <v>70</v>
      </c>
      <c r="S253" s="28">
        <f t="shared" si="32"/>
        <v>5.0000000000000003E-10</v>
      </c>
      <c r="T253" s="28">
        <f t="shared" si="33"/>
        <v>5.0000000000000003E-10</v>
      </c>
      <c r="U253" s="28">
        <f t="shared" si="34"/>
        <v>5.0000000000000003E-10</v>
      </c>
      <c r="V253" s="28">
        <f t="shared" si="35"/>
        <v>6.0003688701012967</v>
      </c>
    </row>
    <row r="254" spans="2:22" x14ac:dyDescent="0.2">
      <c r="B254">
        <f t="shared" si="37"/>
        <v>254.89999999999998</v>
      </c>
      <c r="D254" s="5">
        <v>71</v>
      </c>
      <c r="E254" s="28">
        <f t="shared" si="11"/>
        <v>2.6926056338028168</v>
      </c>
      <c r="F254" s="28">
        <f t="shared" si="36"/>
        <v>3.5901408450704224</v>
      </c>
      <c r="G254" s="28">
        <f t="shared" si="12"/>
        <v>4.487676056338028</v>
      </c>
      <c r="I254" s="5">
        <v>71</v>
      </c>
      <c r="J254" s="28">
        <f t="shared" si="13"/>
        <v>2.6926056338028168</v>
      </c>
      <c r="K254" s="28">
        <f t="shared" si="14"/>
        <v>3.5901408450704224</v>
      </c>
      <c r="L254" s="28">
        <f t="shared" si="15"/>
        <v>4.487676056338028</v>
      </c>
      <c r="R254" s="5">
        <v>71</v>
      </c>
      <c r="S254" s="28">
        <f t="shared" si="32"/>
        <v>5.0000000000000003E-10</v>
      </c>
      <c r="T254" s="28">
        <f t="shared" si="33"/>
        <v>5.0000000000000003E-10</v>
      </c>
      <c r="U254" s="28">
        <f t="shared" si="34"/>
        <v>5.0000000000000003E-10</v>
      </c>
      <c r="V254" s="28">
        <f t="shared" si="35"/>
        <v>5.9158566324942354</v>
      </c>
    </row>
    <row r="255" spans="2:22" x14ac:dyDescent="0.2">
      <c r="B255">
        <f t="shared" si="37"/>
        <v>255.9</v>
      </c>
      <c r="D255" s="5">
        <v>72</v>
      </c>
      <c r="E255" s="28">
        <f t="shared" si="11"/>
        <v>2.6656249999999999</v>
      </c>
      <c r="F255" s="28">
        <f t="shared" si="36"/>
        <v>3.5541666666666667</v>
      </c>
      <c r="G255" s="28">
        <f t="shared" si="12"/>
        <v>4.442708333333333</v>
      </c>
      <c r="I255" s="5">
        <v>72</v>
      </c>
      <c r="J255" s="28">
        <f t="shared" si="13"/>
        <v>2.6656249999999999</v>
      </c>
      <c r="K255" s="28">
        <f t="shared" si="14"/>
        <v>3.5541666666666667</v>
      </c>
      <c r="L255" s="28">
        <f t="shared" si="15"/>
        <v>4.442708333333333</v>
      </c>
      <c r="R255" s="5">
        <v>72</v>
      </c>
      <c r="S255" s="28">
        <f t="shared" si="32"/>
        <v>5.0000000000000003E-10</v>
      </c>
      <c r="T255" s="28">
        <f t="shared" si="33"/>
        <v>5.0000000000000003E-10</v>
      </c>
      <c r="U255" s="28">
        <f t="shared" si="34"/>
        <v>5.0000000000000003E-10</v>
      </c>
      <c r="V255" s="28">
        <f t="shared" si="35"/>
        <v>5.8336919570429266</v>
      </c>
    </row>
    <row r="256" spans="2:22" x14ac:dyDescent="0.2">
      <c r="B256">
        <f t="shared" si="37"/>
        <v>256.89999999999998</v>
      </c>
      <c r="D256" s="5">
        <v>73</v>
      </c>
      <c r="E256" s="28">
        <f t="shared" si="11"/>
        <v>2.6393835616438355</v>
      </c>
      <c r="F256" s="28">
        <f t="shared" si="36"/>
        <v>3.5191780821917806</v>
      </c>
      <c r="G256" s="28">
        <f t="shared" si="12"/>
        <v>4.3989726027397253</v>
      </c>
      <c r="I256" s="5">
        <v>73</v>
      </c>
      <c r="J256" s="28">
        <f t="shared" si="13"/>
        <v>2.6393835616438355</v>
      </c>
      <c r="K256" s="28">
        <f t="shared" si="14"/>
        <v>3.5191780821917806</v>
      </c>
      <c r="L256" s="28">
        <f t="shared" si="15"/>
        <v>4.3989726027397253</v>
      </c>
      <c r="R256" s="5">
        <v>73</v>
      </c>
      <c r="S256" s="28">
        <f t="shared" si="32"/>
        <v>5.0000000000000003E-10</v>
      </c>
      <c r="T256" s="28">
        <f t="shared" si="33"/>
        <v>5.0000000000000003E-10</v>
      </c>
      <c r="U256" s="28">
        <f t="shared" si="34"/>
        <v>5.0000000000000003E-10</v>
      </c>
      <c r="V256" s="28">
        <f t="shared" si="35"/>
        <v>5.7537783685902841</v>
      </c>
    </row>
    <row r="257" spans="2:22" x14ac:dyDescent="0.2">
      <c r="B257">
        <f t="shared" si="37"/>
        <v>257.89999999999998</v>
      </c>
      <c r="D257" s="5">
        <v>74</v>
      </c>
      <c r="E257" s="28">
        <f t="shared" si="11"/>
        <v>2.613851351351351</v>
      </c>
      <c r="F257" s="28">
        <f t="shared" si="36"/>
        <v>3.4851351351351347</v>
      </c>
      <c r="G257" s="28">
        <f t="shared" si="12"/>
        <v>4.3564189189189184</v>
      </c>
      <c r="I257" s="5">
        <v>74</v>
      </c>
      <c r="J257" s="28">
        <f t="shared" si="13"/>
        <v>2.613851351351351</v>
      </c>
      <c r="K257" s="28">
        <f t="shared" si="14"/>
        <v>3.4851351351351347</v>
      </c>
      <c r="L257" s="28">
        <f t="shared" si="15"/>
        <v>4.3564189189189184</v>
      </c>
      <c r="R257" s="5">
        <v>74</v>
      </c>
      <c r="S257" s="28">
        <f t="shared" si="32"/>
        <v>5.0000000000000003E-10</v>
      </c>
      <c r="T257" s="28">
        <f t="shared" si="33"/>
        <v>5.0000000000000003E-10</v>
      </c>
      <c r="U257" s="28">
        <f t="shared" si="34"/>
        <v>5.0000000000000003E-10</v>
      </c>
      <c r="V257" s="28">
        <f t="shared" si="35"/>
        <v>5.6760246068525779</v>
      </c>
    </row>
    <row r="258" spans="2:22" x14ac:dyDescent="0.2">
      <c r="B258">
        <f t="shared" si="37"/>
        <v>258.89999999999998</v>
      </c>
      <c r="D258" s="5">
        <v>75</v>
      </c>
      <c r="E258" s="28">
        <f t="shared" si="11"/>
        <v>2.5889999999999995</v>
      </c>
      <c r="F258" s="28">
        <f t="shared" si="36"/>
        <v>3.4519999999999995</v>
      </c>
      <c r="G258" s="28">
        <f t="shared" si="12"/>
        <v>4.3149999999999995</v>
      </c>
      <c r="I258" s="5">
        <v>75</v>
      </c>
      <c r="J258" s="28">
        <f t="shared" si="13"/>
        <v>2.5889999999999995</v>
      </c>
      <c r="K258" s="28">
        <f t="shared" si="14"/>
        <v>3.4519999999999995</v>
      </c>
      <c r="L258" s="28">
        <f t="shared" si="15"/>
        <v>4.3149999999999995</v>
      </c>
      <c r="R258" s="5">
        <v>75</v>
      </c>
      <c r="S258" s="28">
        <f t="shared" si="32"/>
        <v>5.0000000000000003E-10</v>
      </c>
      <c r="T258" s="28">
        <f t="shared" si="33"/>
        <v>5.0000000000000003E-10</v>
      </c>
      <c r="U258" s="28">
        <f t="shared" si="34"/>
        <v>5.0000000000000003E-10</v>
      </c>
      <c r="V258" s="28">
        <f t="shared" si="35"/>
        <v>5.6003442787612103</v>
      </c>
    </row>
    <row r="259" spans="2:22" x14ac:dyDescent="0.2">
      <c r="B259">
        <f t="shared" si="37"/>
        <v>259.89999999999998</v>
      </c>
      <c r="D259" s="5">
        <v>76</v>
      </c>
      <c r="E259" s="28">
        <f t="shared" si="11"/>
        <v>2.5648026315789472</v>
      </c>
      <c r="F259" s="28">
        <f t="shared" si="36"/>
        <v>3.4197368421052627</v>
      </c>
      <c r="G259" s="28">
        <f t="shared" si="12"/>
        <v>4.2746710526315788</v>
      </c>
      <c r="I259" s="5">
        <v>76</v>
      </c>
      <c r="J259" s="28">
        <f t="shared" si="13"/>
        <v>2.5648026315789472</v>
      </c>
      <c r="K259" s="28">
        <f t="shared" si="14"/>
        <v>3.4197368421052627</v>
      </c>
      <c r="L259" s="28">
        <f t="shared" si="15"/>
        <v>4.2746710526315788</v>
      </c>
      <c r="R259" s="5">
        <v>76</v>
      </c>
      <c r="S259" s="28">
        <f t="shared" si="32"/>
        <v>5.0000000000000003E-10</v>
      </c>
      <c r="T259" s="28">
        <f t="shared" si="33"/>
        <v>5.0000000000000003E-10</v>
      </c>
      <c r="U259" s="28">
        <f t="shared" si="34"/>
        <v>5.0000000000000003E-10</v>
      </c>
      <c r="V259" s="28">
        <f t="shared" si="35"/>
        <v>5.5266555382511937</v>
      </c>
    </row>
    <row r="260" spans="2:22" x14ac:dyDescent="0.2">
      <c r="B260">
        <f t="shared" si="37"/>
        <v>260.89999999999998</v>
      </c>
      <c r="D260" s="5">
        <v>77</v>
      </c>
      <c r="E260" s="28">
        <f t="shared" si="11"/>
        <v>2.5412337662337658</v>
      </c>
      <c r="F260" s="28">
        <f t="shared" si="36"/>
        <v>3.3883116883116879</v>
      </c>
      <c r="G260" s="28">
        <f t="shared" si="12"/>
        <v>4.2353896103896096</v>
      </c>
      <c r="I260" s="5">
        <v>77</v>
      </c>
      <c r="J260" s="28">
        <f t="shared" si="13"/>
        <v>2.5412337662337658</v>
      </c>
      <c r="K260" s="28">
        <f t="shared" si="14"/>
        <v>3.3883116883116879</v>
      </c>
      <c r="L260" s="28">
        <f t="shared" si="15"/>
        <v>4.2353896103896096</v>
      </c>
      <c r="R260" s="5">
        <v>77</v>
      </c>
      <c r="S260" s="28">
        <f t="shared" si="32"/>
        <v>5.0000000000000003E-10</v>
      </c>
      <c r="T260" s="28">
        <f t="shared" si="33"/>
        <v>5.0000000000000003E-10</v>
      </c>
      <c r="U260" s="28">
        <f t="shared" si="34"/>
        <v>5.0000000000000003E-10</v>
      </c>
      <c r="V260" s="28">
        <f t="shared" si="35"/>
        <v>5.4548807910011785</v>
      </c>
    </row>
    <row r="261" spans="2:22" x14ac:dyDescent="0.2">
      <c r="B261">
        <f t="shared" si="37"/>
        <v>261.89999999999998</v>
      </c>
      <c r="D261" s="5">
        <v>78</v>
      </c>
      <c r="E261" s="28">
        <f t="shared" si="11"/>
        <v>2.5182692307692305</v>
      </c>
      <c r="F261" s="28">
        <f t="shared" si="36"/>
        <v>3.3576923076923073</v>
      </c>
      <c r="G261" s="28">
        <f t="shared" si="12"/>
        <v>4.1971153846153841</v>
      </c>
      <c r="I261" s="5">
        <v>78</v>
      </c>
      <c r="J261" s="28">
        <f t="shared" si="13"/>
        <v>2.5182692307692305</v>
      </c>
      <c r="K261" s="28">
        <f t="shared" si="14"/>
        <v>3.3576923076923073</v>
      </c>
      <c r="L261" s="28">
        <f t="shared" si="15"/>
        <v>4.1971153846153841</v>
      </c>
      <c r="R261" s="26">
        <v>78</v>
      </c>
      <c r="S261" s="28">
        <f t="shared" si="32"/>
        <v>5.0000000000000003E-10</v>
      </c>
      <c r="T261" s="28">
        <f t="shared" si="33"/>
        <v>5.0000000000000003E-10</v>
      </c>
      <c r="U261" s="28">
        <f t="shared" si="34"/>
        <v>5.0000000000000003E-10</v>
      </c>
      <c r="V261" s="28">
        <f t="shared" si="35"/>
        <v>5.384946421885779</v>
      </c>
    </row>
    <row r="262" spans="2:22" x14ac:dyDescent="0.2">
      <c r="B262">
        <f t="shared" si="37"/>
        <v>262.89999999999998</v>
      </c>
      <c r="D262" s="5">
        <v>79</v>
      </c>
      <c r="E262" s="28">
        <f t="shared" si="11"/>
        <v>2.4958860759493668</v>
      </c>
      <c r="F262" s="28">
        <f t="shared" si="36"/>
        <v>3.3278481012658223</v>
      </c>
      <c r="G262" s="28">
        <f t="shared" si="12"/>
        <v>4.1598101265822782</v>
      </c>
      <c r="I262" s="5">
        <v>79</v>
      </c>
      <c r="J262" s="28">
        <f t="shared" si="13"/>
        <v>2.4958860759493668</v>
      </c>
      <c r="K262" s="28">
        <f t="shared" si="14"/>
        <v>3.3278481012658223</v>
      </c>
      <c r="L262" s="28">
        <f t="shared" si="15"/>
        <v>4.1598101265822782</v>
      </c>
      <c r="R262" s="26">
        <v>79</v>
      </c>
      <c r="S262" s="28">
        <f t="shared" si="32"/>
        <v>5.0000000000000003E-10</v>
      </c>
      <c r="T262" s="28">
        <f t="shared" si="33"/>
        <v>5.0000000000000003E-10</v>
      </c>
      <c r="U262" s="28">
        <f t="shared" si="34"/>
        <v>5.0000000000000003E-10</v>
      </c>
      <c r="V262" s="28">
        <f t="shared" si="35"/>
        <v>5.3167825431277311</v>
      </c>
    </row>
    <row r="263" spans="2:22" x14ac:dyDescent="0.2">
      <c r="B263">
        <f t="shared" si="37"/>
        <v>263.89999999999998</v>
      </c>
      <c r="D263" s="5">
        <v>80</v>
      </c>
      <c r="E263" s="28">
        <f t="shared" si="11"/>
        <v>2.4740624999999996</v>
      </c>
      <c r="F263" s="28">
        <f t="shared" si="36"/>
        <v>3.2987499999999996</v>
      </c>
      <c r="G263" s="28">
        <f t="shared" si="12"/>
        <v>4.1234374999999996</v>
      </c>
      <c r="I263" s="5">
        <v>80</v>
      </c>
      <c r="J263" s="28">
        <f t="shared" si="13"/>
        <v>2.4740624999999996</v>
      </c>
      <c r="K263" s="28">
        <f t="shared" si="14"/>
        <v>3.2987499999999996</v>
      </c>
      <c r="L263" s="28">
        <f t="shared" si="15"/>
        <v>4.1234374999999996</v>
      </c>
      <c r="R263" s="26">
        <v>80</v>
      </c>
      <c r="S263" s="28">
        <f t="shared" si="32"/>
        <v>5.0000000000000003E-10</v>
      </c>
      <c r="T263" s="28">
        <f t="shared" si="33"/>
        <v>5.0000000000000003E-10</v>
      </c>
      <c r="U263" s="28">
        <f t="shared" si="34"/>
        <v>5.0000000000000003E-10</v>
      </c>
      <c r="V263" s="28">
        <f t="shared" si="35"/>
        <v>5.2503227613386345</v>
      </c>
    </row>
    <row r="264" spans="2:22" x14ac:dyDescent="0.2">
      <c r="D264" s="218"/>
      <c r="E264" s="243"/>
      <c r="F264" s="243"/>
      <c r="G264" s="243"/>
      <c r="I264" s="218"/>
      <c r="J264" s="243"/>
      <c r="K264" s="243"/>
      <c r="L264" s="243"/>
    </row>
    <row r="266" spans="2:22" x14ac:dyDescent="0.2">
      <c r="D266" s="33" t="s">
        <v>324</v>
      </c>
    </row>
    <row r="268" spans="2:22" x14ac:dyDescent="0.2">
      <c r="D268" s="33" t="s">
        <v>325</v>
      </c>
      <c r="E268">
        <f>'Device Parameters'!E12</f>
        <v>1E-3</v>
      </c>
    </row>
    <row r="269" spans="2:22" x14ac:dyDescent="0.2">
      <c r="D269" s="33" t="s">
        <v>326</v>
      </c>
      <c r="E269">
        <f>RsEFF*0.001</f>
        <v>1E-3</v>
      </c>
    </row>
    <row r="270" spans="2:22" x14ac:dyDescent="0.2">
      <c r="D270" s="33" t="s">
        <v>327</v>
      </c>
      <c r="E270">
        <f>VINMAX</f>
        <v>60</v>
      </c>
    </row>
    <row r="271" spans="2:22" x14ac:dyDescent="0.2">
      <c r="D271" s="33" t="s">
        <v>328</v>
      </c>
      <c r="E271" s="156"/>
      <c r="F271">
        <v>0.25</v>
      </c>
    </row>
    <row r="273" spans="4:4" x14ac:dyDescent="0.2">
      <c r="D273" s="159" t="s">
        <v>289</v>
      </c>
    </row>
  </sheetData>
  <mergeCells count="3">
    <mergeCell ref="D43:G43"/>
    <mergeCell ref="D51:G51"/>
    <mergeCell ref="D65:H6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115"/>
  <sheetViews>
    <sheetView zoomScale="85" zoomScaleNormal="85" workbookViewId="0">
      <selection activeCell="N7" sqref="N7"/>
    </sheetView>
  </sheetViews>
  <sheetFormatPr defaultColWidth="9.140625" defaultRowHeight="12.75" x14ac:dyDescent="0.2"/>
  <cols>
    <col min="1" max="1" width="11" style="70" customWidth="1"/>
    <col min="2" max="3" width="9.140625" style="70"/>
    <col min="4" max="5" width="15" style="70" customWidth="1"/>
    <col min="6" max="6" width="15.42578125" style="70" customWidth="1"/>
    <col min="7" max="7" width="14.85546875" style="70" customWidth="1"/>
    <col min="8" max="8" width="10.7109375" style="70" customWidth="1"/>
    <col min="9" max="9" width="12.42578125" style="70" bestFit="1" customWidth="1"/>
    <col min="10" max="10" width="14.85546875" style="70" customWidth="1"/>
    <col min="11" max="11" width="12.85546875" style="70" customWidth="1"/>
    <col min="12" max="12" width="14.28515625" style="70" customWidth="1"/>
    <col min="13" max="13" width="20.85546875" style="70" customWidth="1"/>
    <col min="14" max="14" width="12.7109375" style="70" customWidth="1"/>
    <col min="15" max="15" width="10.140625" style="70" bestFit="1" customWidth="1"/>
    <col min="16" max="16" width="18.85546875" style="70" customWidth="1"/>
    <col min="17" max="17" width="10.85546875" style="70" customWidth="1"/>
    <col min="18" max="16384" width="9.140625" style="70"/>
  </cols>
  <sheetData>
    <row r="1" spans="1:25" x14ac:dyDescent="0.2">
      <c r="B1" s="70" t="s">
        <v>146</v>
      </c>
      <c r="C1" s="70" t="s">
        <v>299</v>
      </c>
      <c r="D1" s="70" t="s">
        <v>300</v>
      </c>
      <c r="F1" s="172" t="s">
        <v>334</v>
      </c>
      <c r="G1" s="172" t="s">
        <v>301</v>
      </c>
      <c r="H1" s="172" t="s">
        <v>302</v>
      </c>
      <c r="I1" s="172" t="s">
        <v>303</v>
      </c>
      <c r="J1" s="172" t="s">
        <v>304</v>
      </c>
      <c r="K1" s="172"/>
      <c r="L1" s="172"/>
      <c r="M1" s="172" t="s">
        <v>308</v>
      </c>
      <c r="N1" s="172"/>
      <c r="O1" s="172" t="s">
        <v>309</v>
      </c>
      <c r="Q1" s="70" t="s">
        <v>349</v>
      </c>
      <c r="R1" s="70" t="s">
        <v>350</v>
      </c>
    </row>
    <row r="2" spans="1:25" x14ac:dyDescent="0.2">
      <c r="B2" s="163">
        <f>'Design Calculator'!F51</f>
        <v>243.9</v>
      </c>
      <c r="C2" s="70">
        <f>'Design Calculator'!F30</f>
        <v>50</v>
      </c>
      <c r="D2" s="70" t="str">
        <f>IF( 'Design Calculator'!F53 = "Constant Current", "CC", "R")</f>
        <v>CC</v>
      </c>
      <c r="F2" s="70" t="str">
        <f>'Design Calculator'!F55</f>
        <v>Yes</v>
      </c>
      <c r="G2" s="70">
        <f>'Design Calculator'!F54</f>
        <v>0.1</v>
      </c>
      <c r="H2" s="70">
        <f>'Design Calculator'!F52</f>
        <v>45</v>
      </c>
      <c r="I2" s="70">
        <f>RsEFF</f>
        <v>1</v>
      </c>
      <c r="J2" s="70">
        <f>'Device Parameters'!E12</f>
        <v>1E-3</v>
      </c>
      <c r="M2" s="163">
        <f>J114*1000</f>
        <v>300</v>
      </c>
      <c r="N2" s="70" t="s">
        <v>8</v>
      </c>
      <c r="O2" s="167">
        <f>MIN(L10:L111)</f>
        <v>0.61832061068702293</v>
      </c>
      <c r="Q2" s="70">
        <f>'Device Parameters'!E30/'Device Parameters'!D30</f>
        <v>2</v>
      </c>
      <c r="R2" s="70">
        <f>'Device Parameters'!C30/'Device Parameters'!D30</f>
        <v>0.375</v>
      </c>
    </row>
    <row r="3" spans="1:25" x14ac:dyDescent="0.2">
      <c r="B3" s="163"/>
      <c r="M3" s="163"/>
      <c r="O3" s="167"/>
    </row>
    <row r="4" spans="1:25" x14ac:dyDescent="0.2">
      <c r="B4" s="163"/>
      <c r="D4" s="70" t="s">
        <v>341</v>
      </c>
      <c r="M4" s="163" t="s">
        <v>342</v>
      </c>
      <c r="N4" s="70">
        <f>MIN(M10:M114)</f>
        <v>2.5092592592592591</v>
      </c>
      <c r="O4" s="167" t="s">
        <v>338</v>
      </c>
      <c r="P4" s="70" t="s">
        <v>351</v>
      </c>
      <c r="Q4" s="70">
        <f>MAX(O10:O114)</f>
        <v>9.7200000000000006</v>
      </c>
      <c r="R4" s="70" t="s">
        <v>87</v>
      </c>
    </row>
    <row r="5" spans="1:25" x14ac:dyDescent="0.2">
      <c r="B5" s="163"/>
      <c r="M5" s="70" t="s">
        <v>343</v>
      </c>
      <c r="N5" s="70">
        <f>SUM(N10:N114)</f>
        <v>1.5023942307692306</v>
      </c>
      <c r="O5" s="167" t="s">
        <v>344</v>
      </c>
      <c r="P5" s="70" t="s">
        <v>353</v>
      </c>
      <c r="Q5" s="70">
        <f>MAX(P10:P114)</f>
        <v>19.440000000000001</v>
      </c>
      <c r="R5" s="70" t="s">
        <v>87</v>
      </c>
    </row>
    <row r="6" spans="1:25" x14ac:dyDescent="0.2">
      <c r="P6" s="70" t="s">
        <v>352</v>
      </c>
      <c r="Q6" s="70">
        <f>MAX(Q10:Q114)</f>
        <v>3.645</v>
      </c>
      <c r="R6" s="70" t="s">
        <v>87</v>
      </c>
    </row>
    <row r="7" spans="1:25" x14ac:dyDescent="0.2">
      <c r="A7" s="164" t="s">
        <v>171</v>
      </c>
      <c r="B7" s="165" t="s">
        <v>140</v>
      </c>
      <c r="C7" s="165" t="s">
        <v>141</v>
      </c>
      <c r="D7" s="165" t="s">
        <v>146</v>
      </c>
      <c r="E7" s="165" t="s">
        <v>332</v>
      </c>
      <c r="F7" s="165" t="s">
        <v>333</v>
      </c>
      <c r="G7" s="165" t="s">
        <v>306</v>
      </c>
      <c r="H7" s="165" t="s">
        <v>169</v>
      </c>
      <c r="I7" s="165" t="s">
        <v>305</v>
      </c>
      <c r="J7" s="166" t="s">
        <v>152</v>
      </c>
      <c r="K7" s="166" t="s">
        <v>383</v>
      </c>
      <c r="L7" s="164" t="s">
        <v>307</v>
      </c>
      <c r="M7" s="164" t="s">
        <v>345</v>
      </c>
      <c r="N7" s="164" t="s">
        <v>382</v>
      </c>
      <c r="O7" s="164" t="s">
        <v>346</v>
      </c>
      <c r="P7" s="70" t="s">
        <v>347</v>
      </c>
      <c r="Q7" s="70" t="s">
        <v>348</v>
      </c>
    </row>
    <row r="8" spans="1:25" x14ac:dyDescent="0.2">
      <c r="A8" s="164"/>
      <c r="B8" s="165"/>
      <c r="C8" s="165"/>
      <c r="D8" s="165"/>
      <c r="E8" s="165"/>
      <c r="F8" s="165"/>
      <c r="G8" s="165"/>
      <c r="H8" s="165"/>
      <c r="I8" s="165"/>
      <c r="J8" s="166"/>
      <c r="K8" s="220">
        <v>-1</v>
      </c>
      <c r="L8" s="164"/>
      <c r="M8" s="164"/>
      <c r="N8" s="164"/>
      <c r="O8" s="70">
        <v>0</v>
      </c>
    </row>
    <row r="9" spans="1:25" x14ac:dyDescent="0.2">
      <c r="A9" s="164"/>
      <c r="B9" s="165"/>
      <c r="C9" s="165"/>
      <c r="D9" s="165"/>
      <c r="E9" s="165"/>
      <c r="F9" s="165"/>
      <c r="G9" s="165"/>
      <c r="H9" s="165"/>
      <c r="I9" s="165"/>
      <c r="J9" s="166"/>
      <c r="K9" s="80">
        <v>-0.01</v>
      </c>
      <c r="L9" s="164"/>
      <c r="M9" s="164"/>
      <c r="N9" s="164"/>
      <c r="O9" s="70">
        <v>0</v>
      </c>
    </row>
    <row r="10" spans="1:25" x14ac:dyDescent="0.2">
      <c r="A10" s="70">
        <f t="shared" ref="A10:A41" si="0">VINMAX</f>
        <v>60</v>
      </c>
      <c r="B10" s="73">
        <f t="shared" ref="B10:B41" si="1">VINMAX*((ROW()-10)/104)</f>
        <v>0</v>
      </c>
      <c r="C10" s="71">
        <f t="shared" ref="C10:C41" si="2">IF(B10&gt;=$H$2,IF($D$2="CC", $G$2, B10/$G$2), 0)</f>
        <v>0</v>
      </c>
      <c r="D10" s="227">
        <f>B2</f>
        <v>243.9</v>
      </c>
      <c r="E10" s="69">
        <f>MIN(D10/(A10-B10),$C$2)</f>
        <v>4.0650000000000004</v>
      </c>
      <c r="F10" s="71">
        <f>I_Cout_ss+C10</f>
        <v>0.16200000000000001</v>
      </c>
      <c r="G10" s="69">
        <f>IF($F$2="YES", F10, E10)</f>
        <v>0.16200000000000001</v>
      </c>
      <c r="H10" s="71">
        <f t="shared" ref="H10:H41" si="3">G10-C10</f>
        <v>0.16200000000000001</v>
      </c>
      <c r="I10" s="72">
        <f>(COUTMAX/1000000)*(B10)/H10</f>
        <v>0</v>
      </c>
      <c r="J10" s="79">
        <f>I10</f>
        <v>0</v>
      </c>
      <c r="K10" s="220">
        <f>J10*1000</f>
        <v>0</v>
      </c>
      <c r="L10" s="167">
        <f>H10/G10</f>
        <v>1</v>
      </c>
      <c r="M10" s="70">
        <f t="shared" ref="M10:M41" si="4">1/COUTMAX*(E10/2-C10)*1000</f>
        <v>2.5092592592592591</v>
      </c>
      <c r="N10" s="70">
        <f>I10*G10*(A10-B10)</f>
        <v>0</v>
      </c>
      <c r="O10" s="70">
        <f>G10*(A10-B10)</f>
        <v>9.7200000000000006</v>
      </c>
      <c r="P10" s="70">
        <f t="shared" ref="P10:P41" si="5">(A10-B10)*(I_Cout_ss*$Q$2+C10)</f>
        <v>19.440000000000001</v>
      </c>
      <c r="Q10" s="70">
        <f t="shared" ref="Q10:Q41" si="6">(A10-B10)*(I_Cout_ss*$R$2+C10)</f>
        <v>3.645</v>
      </c>
    </row>
    <row r="11" spans="1:25" x14ac:dyDescent="0.2">
      <c r="A11" s="70">
        <f t="shared" si="0"/>
        <v>60</v>
      </c>
      <c r="B11" s="73">
        <f t="shared" si="1"/>
        <v>0.57692307692307698</v>
      </c>
      <c r="C11" s="71">
        <f t="shared" si="2"/>
        <v>0</v>
      </c>
      <c r="D11" s="227">
        <f>B2</f>
        <v>243.9</v>
      </c>
      <c r="E11" s="69">
        <f t="shared" ref="E11:E74" si="7">MIN(D11/(A11-B11),$C$2)</f>
        <v>4.104466019417476</v>
      </c>
      <c r="F11" s="71">
        <f t="shared" ref="F11:F41" si="8">I_Cout_ss+C11</f>
        <v>0.16200000000000001</v>
      </c>
      <c r="G11" s="69">
        <f t="shared" ref="G11:G74" si="9">IF($F$2="YES", F11, E11)</f>
        <v>0.16200000000000001</v>
      </c>
      <c r="H11" s="71">
        <f t="shared" si="3"/>
        <v>0.16200000000000001</v>
      </c>
      <c r="I11" s="72">
        <f t="shared" ref="I11:I42" si="10">(COUTMAX/1000000)*(B11-B10)/H11</f>
        <v>2.8846153846153848E-3</v>
      </c>
      <c r="J11" s="79">
        <f>J10+I11</f>
        <v>2.8846153846153848E-3</v>
      </c>
      <c r="K11" s="220">
        <f t="shared" ref="K11:K74" si="11">J11*1000</f>
        <v>2.8846153846153846</v>
      </c>
      <c r="L11" s="167">
        <f t="shared" ref="L11:L74" si="12">H11/G11</f>
        <v>1</v>
      </c>
      <c r="M11" s="70">
        <f t="shared" si="4"/>
        <v>2.5336209996404171</v>
      </c>
      <c r="N11" s="70">
        <f t="shared" ref="N11:N13" si="13">I11*G11*(A11-B11)</f>
        <v>2.7768860946745563E-2</v>
      </c>
      <c r="O11" s="70">
        <f t="shared" ref="O11:O74" si="14">G11*(A11-B11)</f>
        <v>9.6265384615384608</v>
      </c>
      <c r="P11" s="70">
        <f t="shared" si="5"/>
        <v>19.253076923076922</v>
      </c>
      <c r="Q11" s="70">
        <f t="shared" si="6"/>
        <v>3.6099519230769226</v>
      </c>
    </row>
    <row r="12" spans="1:25" x14ac:dyDescent="0.2">
      <c r="A12" s="70">
        <f t="shared" si="0"/>
        <v>60</v>
      </c>
      <c r="B12" s="73">
        <f t="shared" si="1"/>
        <v>1.153846153846154</v>
      </c>
      <c r="C12" s="71">
        <f t="shared" si="2"/>
        <v>0</v>
      </c>
      <c r="D12" s="227">
        <f>B2</f>
        <v>243.9</v>
      </c>
      <c r="E12" s="69">
        <f t="shared" si="7"/>
        <v>4.144705882352941</v>
      </c>
      <c r="F12" s="71">
        <f t="shared" si="8"/>
        <v>0.16200000000000001</v>
      </c>
      <c r="G12" s="69">
        <f t="shared" si="9"/>
        <v>0.16200000000000001</v>
      </c>
      <c r="H12" s="71">
        <f t="shared" si="3"/>
        <v>0.16200000000000001</v>
      </c>
      <c r="I12" s="72">
        <f t="shared" si="10"/>
        <v>2.8846153846153848E-3</v>
      </c>
      <c r="J12" s="79">
        <f t="shared" ref="J12:J75" si="15">J11+I12</f>
        <v>5.7692307692307696E-3</v>
      </c>
      <c r="K12" s="220">
        <f t="shared" si="11"/>
        <v>5.7692307692307692</v>
      </c>
      <c r="L12" s="167">
        <f t="shared" si="12"/>
        <v>1</v>
      </c>
      <c r="M12" s="70">
        <f t="shared" si="4"/>
        <v>2.5584604212055191</v>
      </c>
      <c r="N12" s="70">
        <f>I12*G12*(A12-B12)</f>
        <v>2.7499260355029587E-2</v>
      </c>
      <c r="O12" s="70">
        <f t="shared" si="14"/>
        <v>9.5330769230769228</v>
      </c>
      <c r="P12" s="70">
        <f t="shared" si="5"/>
        <v>19.066153846153846</v>
      </c>
      <c r="Q12" s="70">
        <f t="shared" si="6"/>
        <v>3.574903846153846</v>
      </c>
      <c r="X12" s="320" t="s">
        <v>142</v>
      </c>
      <c r="Y12" s="320"/>
    </row>
    <row r="13" spans="1:25" x14ac:dyDescent="0.2">
      <c r="A13" s="70">
        <f t="shared" si="0"/>
        <v>60</v>
      </c>
      <c r="B13" s="73">
        <f t="shared" si="1"/>
        <v>1.7307692307692308</v>
      </c>
      <c r="C13" s="71">
        <f t="shared" si="2"/>
        <v>0</v>
      </c>
      <c r="D13" s="227">
        <f>B2</f>
        <v>243.9</v>
      </c>
      <c r="E13" s="69">
        <f t="shared" si="7"/>
        <v>4.1857425742574259</v>
      </c>
      <c r="F13" s="71">
        <f t="shared" si="8"/>
        <v>0.16200000000000001</v>
      </c>
      <c r="G13" s="69">
        <f t="shared" si="9"/>
        <v>0.16200000000000001</v>
      </c>
      <c r="H13" s="71">
        <f t="shared" si="3"/>
        <v>0.16200000000000001</v>
      </c>
      <c r="I13" s="72">
        <f t="shared" si="10"/>
        <v>2.8846153846153839E-3</v>
      </c>
      <c r="J13" s="79">
        <f t="shared" si="15"/>
        <v>8.6538461538461543E-3</v>
      </c>
      <c r="K13" s="220">
        <f t="shared" si="11"/>
        <v>8.6538461538461551</v>
      </c>
      <c r="L13" s="167">
        <f t="shared" si="12"/>
        <v>1</v>
      </c>
      <c r="M13" s="70">
        <f t="shared" si="4"/>
        <v>2.5837917125045839</v>
      </c>
      <c r="N13" s="70">
        <f t="shared" si="13"/>
        <v>2.7229659763313603E-2</v>
      </c>
      <c r="O13" s="70">
        <f t="shared" si="14"/>
        <v>9.4396153846153847</v>
      </c>
      <c r="P13" s="70">
        <f t="shared" si="5"/>
        <v>18.879230769230769</v>
      </c>
      <c r="Q13" s="70">
        <f t="shared" si="6"/>
        <v>3.5398557692307691</v>
      </c>
      <c r="X13" s="74" t="s">
        <v>143</v>
      </c>
      <c r="Y13" s="75">
        <v>0.3</v>
      </c>
    </row>
    <row r="14" spans="1:25" x14ac:dyDescent="0.2">
      <c r="A14" s="70">
        <f t="shared" si="0"/>
        <v>60</v>
      </c>
      <c r="B14" s="73">
        <f t="shared" si="1"/>
        <v>2.3076923076923079</v>
      </c>
      <c r="C14" s="71">
        <f t="shared" si="2"/>
        <v>0</v>
      </c>
      <c r="D14" s="227">
        <f>B2</f>
        <v>243.9</v>
      </c>
      <c r="E14" s="69">
        <f t="shared" si="7"/>
        <v>4.2275999999999998</v>
      </c>
      <c r="F14" s="71">
        <f t="shared" si="8"/>
        <v>0.16200000000000001</v>
      </c>
      <c r="G14" s="69">
        <f t="shared" si="9"/>
        <v>0.16200000000000001</v>
      </c>
      <c r="H14" s="71">
        <f t="shared" si="3"/>
        <v>0.16200000000000001</v>
      </c>
      <c r="I14" s="72">
        <f t="shared" si="10"/>
        <v>2.8846153846153852E-3</v>
      </c>
      <c r="J14" s="79">
        <f t="shared" si="15"/>
        <v>1.1538461538461539E-2</v>
      </c>
      <c r="K14" s="220">
        <f t="shared" si="11"/>
        <v>11.538461538461538</v>
      </c>
      <c r="L14" s="167">
        <f t="shared" si="12"/>
        <v>1</v>
      </c>
      <c r="M14" s="70">
        <f t="shared" si="4"/>
        <v>2.6096296296296293</v>
      </c>
      <c r="N14" s="70">
        <f t="shared" ref="N14:N74" si="16">I14*G14*(A14-B14)</f>
        <v>2.696005917159764E-2</v>
      </c>
      <c r="O14" s="70">
        <f t="shared" si="14"/>
        <v>9.3461538461538467</v>
      </c>
      <c r="P14" s="70">
        <f t="shared" si="5"/>
        <v>18.692307692307693</v>
      </c>
      <c r="Q14" s="70">
        <f t="shared" si="6"/>
        <v>3.5048076923076921</v>
      </c>
      <c r="X14" s="74" t="s">
        <v>144</v>
      </c>
      <c r="Y14" s="75">
        <v>0.3</v>
      </c>
    </row>
    <row r="15" spans="1:25" x14ac:dyDescent="0.2">
      <c r="A15" s="70">
        <f t="shared" si="0"/>
        <v>60</v>
      </c>
      <c r="B15" s="73">
        <f t="shared" si="1"/>
        <v>2.8846153846153846</v>
      </c>
      <c r="C15" s="71">
        <f t="shared" si="2"/>
        <v>0</v>
      </c>
      <c r="D15" s="227">
        <f>B2</f>
        <v>243.9</v>
      </c>
      <c r="E15" s="69">
        <f t="shared" si="7"/>
        <v>4.2703030303030305</v>
      </c>
      <c r="F15" s="71">
        <f t="shared" si="8"/>
        <v>0.16200000000000001</v>
      </c>
      <c r="G15" s="69">
        <f t="shared" si="9"/>
        <v>0.16200000000000001</v>
      </c>
      <c r="H15" s="71">
        <f t="shared" si="3"/>
        <v>0.16200000000000001</v>
      </c>
      <c r="I15" s="72">
        <f t="shared" si="10"/>
        <v>2.884615384615383E-3</v>
      </c>
      <c r="J15" s="79">
        <f t="shared" si="15"/>
        <v>1.4423076923076922E-2</v>
      </c>
      <c r="K15" s="220">
        <f t="shared" si="11"/>
        <v>14.423076923076922</v>
      </c>
      <c r="L15" s="167">
        <f t="shared" si="12"/>
        <v>1</v>
      </c>
      <c r="M15" s="70">
        <f t="shared" si="4"/>
        <v>2.635989524878414</v>
      </c>
      <c r="N15" s="70">
        <f t="shared" si="16"/>
        <v>2.6690458579881643E-2</v>
      </c>
      <c r="O15" s="70">
        <f t="shared" si="14"/>
        <v>9.2526923076923069</v>
      </c>
      <c r="P15" s="70">
        <f t="shared" si="5"/>
        <v>18.505384615384614</v>
      </c>
      <c r="Q15" s="70">
        <f t="shared" si="6"/>
        <v>3.4697596153846151</v>
      </c>
      <c r="X15" s="74" t="s">
        <v>145</v>
      </c>
      <c r="Y15" s="75">
        <f>SQRT(Y14^2+Y13^2)</f>
        <v>0.42426406871192851</v>
      </c>
    </row>
    <row r="16" spans="1:25" x14ac:dyDescent="0.2">
      <c r="A16" s="70">
        <f t="shared" si="0"/>
        <v>60</v>
      </c>
      <c r="B16" s="73">
        <f t="shared" si="1"/>
        <v>3.4615384615384617</v>
      </c>
      <c r="C16" s="71">
        <f t="shared" si="2"/>
        <v>0</v>
      </c>
      <c r="D16" s="227">
        <f>B2</f>
        <v>243.9</v>
      </c>
      <c r="E16" s="69">
        <f t="shared" si="7"/>
        <v>4.3138775510204077</v>
      </c>
      <c r="F16" s="71">
        <f t="shared" si="8"/>
        <v>0.16200000000000001</v>
      </c>
      <c r="G16" s="69">
        <f t="shared" si="9"/>
        <v>0.16200000000000001</v>
      </c>
      <c r="H16" s="71">
        <f t="shared" si="3"/>
        <v>0.16200000000000001</v>
      </c>
      <c r="I16" s="72">
        <f t="shared" si="10"/>
        <v>2.8846153846153852E-3</v>
      </c>
      <c r="J16" s="79">
        <f t="shared" si="15"/>
        <v>1.7307692307692309E-2</v>
      </c>
      <c r="K16" s="220">
        <f t="shared" si="11"/>
        <v>17.30769230769231</v>
      </c>
      <c r="L16" s="167">
        <f t="shared" si="12"/>
        <v>1</v>
      </c>
      <c r="M16" s="70">
        <f t="shared" si="4"/>
        <v>2.662887377173091</v>
      </c>
      <c r="N16" s="70">
        <f t="shared" si="16"/>
        <v>2.6420857988165687E-2</v>
      </c>
      <c r="O16" s="70">
        <f t="shared" si="14"/>
        <v>9.1592307692307706</v>
      </c>
      <c r="P16" s="70">
        <f t="shared" si="5"/>
        <v>18.318461538461541</v>
      </c>
      <c r="Q16" s="70">
        <f t="shared" si="6"/>
        <v>3.4347115384615385</v>
      </c>
      <c r="X16" s="75"/>
      <c r="Y16" s="75"/>
    </row>
    <row r="17" spans="1:25" x14ac:dyDescent="0.2">
      <c r="A17" s="70">
        <f t="shared" si="0"/>
        <v>60</v>
      </c>
      <c r="B17" s="73">
        <f t="shared" si="1"/>
        <v>4.0384615384615383</v>
      </c>
      <c r="C17" s="71">
        <f t="shared" si="2"/>
        <v>0</v>
      </c>
      <c r="D17" s="227">
        <f>B2</f>
        <v>243.9</v>
      </c>
      <c r="E17" s="69">
        <f t="shared" si="7"/>
        <v>4.3583505154639175</v>
      </c>
      <c r="F17" s="71">
        <f t="shared" si="8"/>
        <v>0.16200000000000001</v>
      </c>
      <c r="G17" s="69">
        <f t="shared" si="9"/>
        <v>0.16200000000000001</v>
      </c>
      <c r="H17" s="71">
        <f t="shared" si="3"/>
        <v>0.16200000000000001</v>
      </c>
      <c r="I17" s="72">
        <f t="shared" si="10"/>
        <v>2.884615384615383E-3</v>
      </c>
      <c r="J17" s="79">
        <f t="shared" si="15"/>
        <v>2.019230769230769E-2</v>
      </c>
      <c r="K17" s="220">
        <f t="shared" si="11"/>
        <v>20.19230769230769</v>
      </c>
      <c r="L17" s="167">
        <f t="shared" si="12"/>
        <v>1</v>
      </c>
      <c r="M17" s="70">
        <f t="shared" si="4"/>
        <v>2.6903398243604428</v>
      </c>
      <c r="N17" s="70">
        <f t="shared" si="16"/>
        <v>2.615125739644969E-2</v>
      </c>
      <c r="O17" s="70">
        <f t="shared" si="14"/>
        <v>9.0657692307692308</v>
      </c>
      <c r="P17" s="70">
        <f t="shared" si="5"/>
        <v>18.131538461538462</v>
      </c>
      <c r="Q17" s="70">
        <f t="shared" si="6"/>
        <v>3.3996634615384616</v>
      </c>
      <c r="X17" s="74" t="s">
        <v>146</v>
      </c>
      <c r="Y17" s="75">
        <v>0.3</v>
      </c>
    </row>
    <row r="18" spans="1:25" x14ac:dyDescent="0.2">
      <c r="A18" s="70">
        <f t="shared" si="0"/>
        <v>60</v>
      </c>
      <c r="B18" s="73">
        <f t="shared" si="1"/>
        <v>4.6153846153846159</v>
      </c>
      <c r="C18" s="71">
        <f t="shared" si="2"/>
        <v>0</v>
      </c>
      <c r="D18" s="227">
        <f>B2</f>
        <v>243.9</v>
      </c>
      <c r="E18" s="69">
        <f t="shared" si="7"/>
        <v>4.4037499999999996</v>
      </c>
      <c r="F18" s="71">
        <f t="shared" si="8"/>
        <v>0.16200000000000001</v>
      </c>
      <c r="G18" s="69">
        <f t="shared" si="9"/>
        <v>0.16200000000000001</v>
      </c>
      <c r="H18" s="71">
        <f t="shared" si="3"/>
        <v>0.16200000000000001</v>
      </c>
      <c r="I18" s="72">
        <f t="shared" si="10"/>
        <v>2.8846153846153874E-3</v>
      </c>
      <c r="J18" s="79">
        <f t="shared" si="15"/>
        <v>2.3076923076923078E-2</v>
      </c>
      <c r="K18" s="220">
        <f t="shared" si="11"/>
        <v>23.076923076923077</v>
      </c>
      <c r="L18" s="167">
        <f t="shared" si="12"/>
        <v>1</v>
      </c>
      <c r="M18" s="70">
        <f t="shared" si="4"/>
        <v>2.7183641975308639</v>
      </c>
      <c r="N18" s="70">
        <f t="shared" si="16"/>
        <v>2.5881656804733755E-2</v>
      </c>
      <c r="O18" s="70">
        <f t="shared" si="14"/>
        <v>8.9723076923076928</v>
      </c>
      <c r="P18" s="70">
        <f t="shared" si="5"/>
        <v>17.944615384615386</v>
      </c>
      <c r="Q18" s="70">
        <f t="shared" si="6"/>
        <v>3.3646153846153846</v>
      </c>
      <c r="X18" s="74" t="s">
        <v>147</v>
      </c>
      <c r="Y18" s="75">
        <f>MAX(Y15:Y17)</f>
        <v>0.42426406871192851</v>
      </c>
    </row>
    <row r="19" spans="1:25" x14ac:dyDescent="0.2">
      <c r="A19" s="70">
        <f t="shared" si="0"/>
        <v>60</v>
      </c>
      <c r="B19" s="73">
        <f t="shared" si="1"/>
        <v>5.1923076923076925</v>
      </c>
      <c r="C19" s="71">
        <f t="shared" si="2"/>
        <v>0</v>
      </c>
      <c r="D19" s="227">
        <f>B2</f>
        <v>243.9</v>
      </c>
      <c r="E19" s="69">
        <f t="shared" si="7"/>
        <v>4.4501052631578952</v>
      </c>
      <c r="F19" s="71">
        <f t="shared" si="8"/>
        <v>0.16200000000000001</v>
      </c>
      <c r="G19" s="69">
        <f t="shared" si="9"/>
        <v>0.16200000000000001</v>
      </c>
      <c r="H19" s="71">
        <f t="shared" si="3"/>
        <v>0.16200000000000001</v>
      </c>
      <c r="I19" s="72">
        <f t="shared" si="10"/>
        <v>2.884615384615383E-3</v>
      </c>
      <c r="J19" s="79">
        <f t="shared" si="15"/>
        <v>2.596153846153846E-2</v>
      </c>
      <c r="K19" s="220">
        <f t="shared" si="11"/>
        <v>25.96153846153846</v>
      </c>
      <c r="L19" s="167">
        <f t="shared" si="12"/>
        <v>1</v>
      </c>
      <c r="M19" s="70">
        <f t="shared" si="4"/>
        <v>2.7469785575048737</v>
      </c>
      <c r="N19" s="70">
        <f t="shared" si="16"/>
        <v>2.5612056213017736E-2</v>
      </c>
      <c r="O19" s="70">
        <f t="shared" si="14"/>
        <v>8.8788461538461547</v>
      </c>
      <c r="P19" s="70">
        <f t="shared" si="5"/>
        <v>17.757692307692309</v>
      </c>
      <c r="Q19" s="70">
        <f t="shared" si="6"/>
        <v>3.3295673076923076</v>
      </c>
      <c r="X19" s="75"/>
      <c r="Y19" s="75"/>
    </row>
    <row r="20" spans="1:25" x14ac:dyDescent="0.2">
      <c r="A20" s="70">
        <f t="shared" si="0"/>
        <v>60</v>
      </c>
      <c r="B20" s="73">
        <f t="shared" si="1"/>
        <v>5.7692307692307692</v>
      </c>
      <c r="C20" s="71">
        <f t="shared" si="2"/>
        <v>0</v>
      </c>
      <c r="D20" s="227">
        <f>B2</f>
        <v>243.9</v>
      </c>
      <c r="E20" s="69">
        <f t="shared" si="7"/>
        <v>4.497446808510638</v>
      </c>
      <c r="F20" s="71">
        <f t="shared" si="8"/>
        <v>0.16200000000000001</v>
      </c>
      <c r="G20" s="69">
        <f t="shared" si="9"/>
        <v>0.16200000000000001</v>
      </c>
      <c r="H20" s="71">
        <f t="shared" si="3"/>
        <v>0.16200000000000001</v>
      </c>
      <c r="I20" s="72">
        <f t="shared" si="10"/>
        <v>2.884615384615383E-3</v>
      </c>
      <c r="J20" s="79">
        <f t="shared" si="15"/>
        <v>2.8846153846153841E-2</v>
      </c>
      <c r="K20" s="220">
        <f t="shared" si="11"/>
        <v>28.84615384615384</v>
      </c>
      <c r="L20" s="167">
        <f t="shared" si="12"/>
        <v>1</v>
      </c>
      <c r="M20" s="70">
        <f t="shared" si="4"/>
        <v>2.7762017336485418</v>
      </c>
      <c r="N20" s="70">
        <f t="shared" si="16"/>
        <v>2.5342455621301763E-2</v>
      </c>
      <c r="O20" s="70">
        <f t="shared" si="14"/>
        <v>8.7853846153846167</v>
      </c>
      <c r="P20" s="70">
        <f t="shared" si="5"/>
        <v>17.570769230769233</v>
      </c>
      <c r="Q20" s="70">
        <f t="shared" si="6"/>
        <v>3.294519230769231</v>
      </c>
      <c r="X20" s="74" t="s">
        <v>148</v>
      </c>
      <c r="Y20" s="75">
        <v>0.2</v>
      </c>
    </row>
    <row r="21" spans="1:25" x14ac:dyDescent="0.2">
      <c r="A21" s="70">
        <f t="shared" si="0"/>
        <v>60</v>
      </c>
      <c r="B21" s="73">
        <f t="shared" si="1"/>
        <v>6.3461538461538458</v>
      </c>
      <c r="C21" s="71">
        <f t="shared" si="2"/>
        <v>0</v>
      </c>
      <c r="D21" s="227">
        <f>B2</f>
        <v>243.9</v>
      </c>
      <c r="E21" s="69">
        <f t="shared" si="7"/>
        <v>4.5458064516129033</v>
      </c>
      <c r="F21" s="71">
        <f t="shared" si="8"/>
        <v>0.16200000000000001</v>
      </c>
      <c r="G21" s="69">
        <f t="shared" si="9"/>
        <v>0.16200000000000001</v>
      </c>
      <c r="H21" s="71">
        <f t="shared" si="3"/>
        <v>0.16200000000000001</v>
      </c>
      <c r="I21" s="72">
        <f t="shared" si="10"/>
        <v>2.884615384615383E-3</v>
      </c>
      <c r="J21" s="79">
        <f t="shared" si="15"/>
        <v>3.1730769230769222E-2</v>
      </c>
      <c r="K21" s="220">
        <f t="shared" si="11"/>
        <v>31.730769230769223</v>
      </c>
      <c r="L21" s="167">
        <f t="shared" si="12"/>
        <v>1</v>
      </c>
      <c r="M21" s="70">
        <f t="shared" si="4"/>
        <v>2.8060533651931503</v>
      </c>
      <c r="N21" s="70">
        <f t="shared" si="16"/>
        <v>2.5072855029585783E-2</v>
      </c>
      <c r="O21" s="70">
        <f t="shared" si="14"/>
        <v>8.6919230769230769</v>
      </c>
      <c r="P21" s="70">
        <f t="shared" si="5"/>
        <v>17.383846153846154</v>
      </c>
      <c r="Q21" s="70">
        <f t="shared" si="6"/>
        <v>3.2594711538461536</v>
      </c>
      <c r="X21" s="74" t="s">
        <v>149</v>
      </c>
      <c r="Y21" s="75">
        <v>0.2</v>
      </c>
    </row>
    <row r="22" spans="1:25" x14ac:dyDescent="0.2">
      <c r="A22" s="70">
        <f t="shared" si="0"/>
        <v>60</v>
      </c>
      <c r="B22" s="73">
        <f t="shared" si="1"/>
        <v>6.9230769230769234</v>
      </c>
      <c r="C22" s="71">
        <f t="shared" si="2"/>
        <v>0</v>
      </c>
      <c r="D22" s="227">
        <f>B2</f>
        <v>243.9</v>
      </c>
      <c r="E22" s="69">
        <f t="shared" si="7"/>
        <v>4.5952173913043479</v>
      </c>
      <c r="F22" s="71">
        <f t="shared" si="8"/>
        <v>0.16200000000000001</v>
      </c>
      <c r="G22" s="69">
        <f t="shared" si="9"/>
        <v>0.16200000000000001</v>
      </c>
      <c r="H22" s="71">
        <f t="shared" si="3"/>
        <v>0.16200000000000001</v>
      </c>
      <c r="I22" s="72">
        <f t="shared" si="10"/>
        <v>2.8846153846153874E-3</v>
      </c>
      <c r="J22" s="79">
        <f t="shared" si="15"/>
        <v>3.461538461538461E-2</v>
      </c>
      <c r="K22" s="220">
        <f t="shared" si="11"/>
        <v>34.615384615384613</v>
      </c>
      <c r="L22" s="167">
        <f t="shared" si="12"/>
        <v>1</v>
      </c>
      <c r="M22" s="70">
        <f t="shared" si="4"/>
        <v>2.8365539452495971</v>
      </c>
      <c r="N22" s="70">
        <f t="shared" si="16"/>
        <v>2.4803254437869848E-2</v>
      </c>
      <c r="O22" s="70">
        <f t="shared" si="14"/>
        <v>8.5984615384615388</v>
      </c>
      <c r="P22" s="70">
        <f t="shared" si="5"/>
        <v>17.196923076923078</v>
      </c>
      <c r="Q22" s="70">
        <f t="shared" si="6"/>
        <v>3.2244230769230771</v>
      </c>
      <c r="X22" s="74" t="s">
        <v>145</v>
      </c>
      <c r="Y22" s="75">
        <f>SQRT(Y21^2+Y20^2)</f>
        <v>0.28284271247461906</v>
      </c>
    </row>
    <row r="23" spans="1:25" x14ac:dyDescent="0.2">
      <c r="A23" s="70">
        <f t="shared" si="0"/>
        <v>60</v>
      </c>
      <c r="B23" s="73">
        <f t="shared" si="1"/>
        <v>7.5</v>
      </c>
      <c r="C23" s="71">
        <f t="shared" si="2"/>
        <v>0</v>
      </c>
      <c r="D23" s="227">
        <f>B2</f>
        <v>243.9</v>
      </c>
      <c r="E23" s="69">
        <f t="shared" si="7"/>
        <v>4.6457142857142859</v>
      </c>
      <c r="F23" s="71">
        <f t="shared" si="8"/>
        <v>0.16200000000000001</v>
      </c>
      <c r="G23" s="69">
        <f t="shared" si="9"/>
        <v>0.16200000000000001</v>
      </c>
      <c r="H23" s="71">
        <f t="shared" si="3"/>
        <v>0.16200000000000001</v>
      </c>
      <c r="I23" s="72">
        <f t="shared" si="10"/>
        <v>2.884615384615383E-3</v>
      </c>
      <c r="J23" s="79">
        <f t="shared" si="15"/>
        <v>3.7499999999999992E-2</v>
      </c>
      <c r="K23" s="220">
        <f t="shared" si="11"/>
        <v>37.499999999999993</v>
      </c>
      <c r="L23" s="167">
        <f t="shared" si="12"/>
        <v>1</v>
      </c>
      <c r="M23" s="70">
        <f t="shared" si="4"/>
        <v>2.8677248677248679</v>
      </c>
      <c r="N23" s="70">
        <f t="shared" si="16"/>
        <v>2.4533653846153834E-2</v>
      </c>
      <c r="O23" s="70">
        <f t="shared" si="14"/>
        <v>8.5050000000000008</v>
      </c>
      <c r="P23" s="70">
        <f t="shared" si="5"/>
        <v>17.010000000000002</v>
      </c>
      <c r="Q23" s="70">
        <f t="shared" si="6"/>
        <v>3.1893750000000001</v>
      </c>
      <c r="X23" s="75"/>
      <c r="Y23" s="75"/>
    </row>
    <row r="24" spans="1:25" x14ac:dyDescent="0.2">
      <c r="A24" s="70">
        <f t="shared" si="0"/>
        <v>60</v>
      </c>
      <c r="B24" s="73">
        <f t="shared" si="1"/>
        <v>8.0769230769230766</v>
      </c>
      <c r="C24" s="71">
        <f t="shared" si="2"/>
        <v>0</v>
      </c>
      <c r="D24" s="227">
        <f>B2</f>
        <v>243.9</v>
      </c>
      <c r="E24" s="69">
        <f t="shared" si="7"/>
        <v>4.6973333333333338</v>
      </c>
      <c r="F24" s="71">
        <f t="shared" si="8"/>
        <v>0.16200000000000001</v>
      </c>
      <c r="G24" s="69">
        <f t="shared" si="9"/>
        <v>0.16200000000000001</v>
      </c>
      <c r="H24" s="71">
        <f t="shared" si="3"/>
        <v>0.16200000000000001</v>
      </c>
      <c r="I24" s="72">
        <f t="shared" si="10"/>
        <v>2.884615384615383E-3</v>
      </c>
      <c r="J24" s="79">
        <f t="shared" si="15"/>
        <v>4.0384615384615373E-2</v>
      </c>
      <c r="K24" s="220">
        <f t="shared" si="11"/>
        <v>40.384615384615373</v>
      </c>
      <c r="L24" s="167">
        <f t="shared" si="12"/>
        <v>1</v>
      </c>
      <c r="M24" s="70">
        <f t="shared" si="4"/>
        <v>2.8995884773662555</v>
      </c>
      <c r="N24" s="70">
        <f t="shared" si="16"/>
        <v>2.4264053254437853E-2</v>
      </c>
      <c r="O24" s="70">
        <f t="shared" si="14"/>
        <v>8.411538461538461</v>
      </c>
      <c r="P24" s="70">
        <f t="shared" si="5"/>
        <v>16.823076923076922</v>
      </c>
      <c r="Q24" s="70">
        <f t="shared" si="6"/>
        <v>3.1543269230769226</v>
      </c>
      <c r="X24" s="74" t="s">
        <v>150</v>
      </c>
      <c r="Y24" s="75">
        <f>SQRT(Y18^2+Y22^2)</f>
        <v>0.50990195135927852</v>
      </c>
    </row>
    <row r="25" spans="1:25" x14ac:dyDescent="0.2">
      <c r="A25" s="70">
        <f t="shared" si="0"/>
        <v>60</v>
      </c>
      <c r="B25" s="73">
        <f t="shared" si="1"/>
        <v>8.6538461538461533</v>
      </c>
      <c r="C25" s="71">
        <f t="shared" si="2"/>
        <v>0</v>
      </c>
      <c r="D25" s="227">
        <f>B2</f>
        <v>243.9</v>
      </c>
      <c r="E25" s="69">
        <f t="shared" si="7"/>
        <v>4.7501123595505614</v>
      </c>
      <c r="F25" s="71">
        <f t="shared" si="8"/>
        <v>0.16200000000000001</v>
      </c>
      <c r="G25" s="69">
        <f t="shared" si="9"/>
        <v>0.16200000000000001</v>
      </c>
      <c r="H25" s="71">
        <f t="shared" si="3"/>
        <v>0.16200000000000001</v>
      </c>
      <c r="I25" s="72">
        <f t="shared" si="10"/>
        <v>2.884615384615383E-3</v>
      </c>
      <c r="J25" s="79">
        <f t="shared" si="15"/>
        <v>4.3269230769230754E-2</v>
      </c>
      <c r="K25" s="220">
        <f t="shared" si="11"/>
        <v>43.269230769230752</v>
      </c>
      <c r="L25" s="167">
        <f t="shared" si="12"/>
        <v>1</v>
      </c>
      <c r="M25" s="70">
        <f t="shared" si="4"/>
        <v>2.932168123179359</v>
      </c>
      <c r="N25" s="70">
        <f t="shared" si="16"/>
        <v>2.399445266272188E-2</v>
      </c>
      <c r="O25" s="70">
        <f t="shared" si="14"/>
        <v>8.3180769230769229</v>
      </c>
      <c r="P25" s="70">
        <f t="shared" si="5"/>
        <v>16.636153846153846</v>
      </c>
      <c r="Q25" s="70">
        <f t="shared" si="6"/>
        <v>3.1192788461538461</v>
      </c>
    </row>
    <row r="26" spans="1:25" x14ac:dyDescent="0.2">
      <c r="A26" s="70">
        <f t="shared" si="0"/>
        <v>60</v>
      </c>
      <c r="B26" s="73">
        <f t="shared" si="1"/>
        <v>9.2307692307692317</v>
      </c>
      <c r="C26" s="71">
        <f t="shared" si="2"/>
        <v>0</v>
      </c>
      <c r="D26" s="227">
        <f>B2</f>
        <v>243.9</v>
      </c>
      <c r="E26" s="69">
        <f t="shared" si="7"/>
        <v>4.8040909090909096</v>
      </c>
      <c r="F26" s="71">
        <f t="shared" si="8"/>
        <v>0.16200000000000001</v>
      </c>
      <c r="G26" s="69">
        <f t="shared" si="9"/>
        <v>0.16200000000000001</v>
      </c>
      <c r="H26" s="71">
        <f t="shared" si="3"/>
        <v>0.16200000000000001</v>
      </c>
      <c r="I26" s="72">
        <f t="shared" si="10"/>
        <v>2.8846153846153921E-3</v>
      </c>
      <c r="J26" s="79">
        <f t="shared" si="15"/>
        <v>4.6153846153846149E-2</v>
      </c>
      <c r="K26" s="220">
        <f t="shared" si="11"/>
        <v>46.153846153846146</v>
      </c>
      <c r="L26" s="167">
        <f t="shared" si="12"/>
        <v>1</v>
      </c>
      <c r="M26" s="70">
        <f t="shared" si="4"/>
        <v>2.9654882154882158</v>
      </c>
      <c r="N26" s="70">
        <f t="shared" si="16"/>
        <v>2.3724852071005977E-2</v>
      </c>
      <c r="O26" s="70">
        <f t="shared" si="14"/>
        <v>8.2246153846153849</v>
      </c>
      <c r="P26" s="70">
        <f t="shared" si="5"/>
        <v>16.44923076923077</v>
      </c>
      <c r="Q26" s="70">
        <f t="shared" si="6"/>
        <v>3.0842307692307691</v>
      </c>
    </row>
    <row r="27" spans="1:25" x14ac:dyDescent="0.2">
      <c r="A27" s="70">
        <f t="shared" si="0"/>
        <v>60</v>
      </c>
      <c r="B27" s="73">
        <f t="shared" si="1"/>
        <v>9.8076923076923084</v>
      </c>
      <c r="C27" s="71">
        <f t="shared" si="2"/>
        <v>0</v>
      </c>
      <c r="D27" s="227">
        <f>B2</f>
        <v>243.9</v>
      </c>
      <c r="E27" s="69">
        <f t="shared" si="7"/>
        <v>4.8593103448275858</v>
      </c>
      <c r="F27" s="71">
        <f t="shared" si="8"/>
        <v>0.16200000000000001</v>
      </c>
      <c r="G27" s="69">
        <f t="shared" si="9"/>
        <v>0.16200000000000001</v>
      </c>
      <c r="H27" s="71">
        <f t="shared" si="3"/>
        <v>0.16200000000000001</v>
      </c>
      <c r="I27" s="72">
        <f t="shared" si="10"/>
        <v>2.884615384615383E-3</v>
      </c>
      <c r="J27" s="79">
        <f t="shared" si="15"/>
        <v>4.9038461538461531E-2</v>
      </c>
      <c r="K27" s="220">
        <f t="shared" si="11"/>
        <v>49.038461538461533</v>
      </c>
      <c r="L27" s="167">
        <f t="shared" si="12"/>
        <v>1</v>
      </c>
      <c r="M27" s="70">
        <f t="shared" si="4"/>
        <v>2.9995742869306086</v>
      </c>
      <c r="N27" s="70">
        <f t="shared" si="16"/>
        <v>2.3455251479289927E-2</v>
      </c>
      <c r="O27" s="70">
        <f t="shared" si="14"/>
        <v>8.1311538461538468</v>
      </c>
      <c r="P27" s="70">
        <f t="shared" si="5"/>
        <v>16.262307692307694</v>
      </c>
      <c r="Q27" s="70">
        <f t="shared" si="6"/>
        <v>3.0491826923076921</v>
      </c>
    </row>
    <row r="28" spans="1:25" x14ac:dyDescent="0.2">
      <c r="A28" s="70">
        <f t="shared" si="0"/>
        <v>60</v>
      </c>
      <c r="B28" s="73">
        <f t="shared" si="1"/>
        <v>10.384615384615385</v>
      </c>
      <c r="C28" s="71">
        <f t="shared" si="2"/>
        <v>0</v>
      </c>
      <c r="D28" s="227">
        <f>B2</f>
        <v>243.9</v>
      </c>
      <c r="E28" s="69">
        <f t="shared" si="7"/>
        <v>4.9158139534883727</v>
      </c>
      <c r="F28" s="71">
        <f t="shared" si="8"/>
        <v>0.16200000000000001</v>
      </c>
      <c r="G28" s="69">
        <f t="shared" si="9"/>
        <v>0.16200000000000001</v>
      </c>
      <c r="H28" s="71">
        <f t="shared" si="3"/>
        <v>0.16200000000000001</v>
      </c>
      <c r="I28" s="72">
        <f t="shared" si="10"/>
        <v>2.884615384615383E-3</v>
      </c>
      <c r="J28" s="79">
        <f t="shared" si="15"/>
        <v>5.1923076923076912E-2</v>
      </c>
      <c r="K28" s="220">
        <f t="shared" si="11"/>
        <v>51.923076923076913</v>
      </c>
      <c r="L28" s="167">
        <f t="shared" si="12"/>
        <v>1</v>
      </c>
      <c r="M28" s="70">
        <f t="shared" si="4"/>
        <v>3.034453057708872</v>
      </c>
      <c r="N28" s="70">
        <f t="shared" si="16"/>
        <v>2.318565088757395E-2</v>
      </c>
      <c r="O28" s="70">
        <f t="shared" si="14"/>
        <v>8.037692307692307</v>
      </c>
      <c r="P28" s="70">
        <f t="shared" si="5"/>
        <v>16.075384615384614</v>
      </c>
      <c r="Q28" s="70">
        <f t="shared" si="6"/>
        <v>3.0141346153846151</v>
      </c>
    </row>
    <row r="29" spans="1:25" x14ac:dyDescent="0.2">
      <c r="A29" s="70">
        <f t="shared" si="0"/>
        <v>60</v>
      </c>
      <c r="B29" s="73">
        <f t="shared" si="1"/>
        <v>10.961538461538462</v>
      </c>
      <c r="C29" s="71">
        <f t="shared" si="2"/>
        <v>0</v>
      </c>
      <c r="D29" s="227">
        <f>B2</f>
        <v>243.9</v>
      </c>
      <c r="E29" s="69">
        <f t="shared" si="7"/>
        <v>4.9736470588235298</v>
      </c>
      <c r="F29" s="71">
        <f t="shared" si="8"/>
        <v>0.16200000000000001</v>
      </c>
      <c r="G29" s="69">
        <f t="shared" si="9"/>
        <v>0.16200000000000001</v>
      </c>
      <c r="H29" s="71">
        <f t="shared" si="3"/>
        <v>0.16200000000000001</v>
      </c>
      <c r="I29" s="72">
        <f t="shared" si="10"/>
        <v>2.884615384615383E-3</v>
      </c>
      <c r="J29" s="79">
        <f t="shared" si="15"/>
        <v>5.4807692307692293E-2</v>
      </c>
      <c r="K29" s="220">
        <f t="shared" si="11"/>
        <v>54.807692307692292</v>
      </c>
      <c r="L29" s="167">
        <f t="shared" si="12"/>
        <v>1</v>
      </c>
      <c r="M29" s="70">
        <f t="shared" si="4"/>
        <v>3.0701525054466234</v>
      </c>
      <c r="N29" s="70">
        <f t="shared" si="16"/>
        <v>2.2916050295857977E-2</v>
      </c>
      <c r="O29" s="70">
        <f t="shared" si="14"/>
        <v>7.9442307692307699</v>
      </c>
      <c r="P29" s="70">
        <f t="shared" si="5"/>
        <v>15.88846153846154</v>
      </c>
      <c r="Q29" s="70">
        <f t="shared" si="6"/>
        <v>2.9790865384615386</v>
      </c>
    </row>
    <row r="30" spans="1:25" x14ac:dyDescent="0.2">
      <c r="A30" s="70">
        <f t="shared" si="0"/>
        <v>60</v>
      </c>
      <c r="B30" s="73">
        <f t="shared" si="1"/>
        <v>11.538461538461538</v>
      </c>
      <c r="C30" s="71">
        <f t="shared" si="2"/>
        <v>0</v>
      </c>
      <c r="D30" s="227">
        <f>B2</f>
        <v>243.9</v>
      </c>
      <c r="E30" s="69">
        <f t="shared" si="7"/>
        <v>5.0328571428571429</v>
      </c>
      <c r="F30" s="71">
        <f t="shared" si="8"/>
        <v>0.16200000000000001</v>
      </c>
      <c r="G30" s="69">
        <f t="shared" si="9"/>
        <v>0.16200000000000001</v>
      </c>
      <c r="H30" s="71">
        <f t="shared" si="3"/>
        <v>0.16200000000000001</v>
      </c>
      <c r="I30" s="72">
        <f t="shared" si="10"/>
        <v>2.884615384615383E-3</v>
      </c>
      <c r="J30" s="79">
        <f t="shared" si="15"/>
        <v>5.7692307692307675E-2</v>
      </c>
      <c r="K30" s="220">
        <f t="shared" si="11"/>
        <v>57.692307692307672</v>
      </c>
      <c r="L30" s="167">
        <f t="shared" si="12"/>
        <v>1</v>
      </c>
      <c r="M30" s="70">
        <f t="shared" si="4"/>
        <v>3.1067019400352733</v>
      </c>
      <c r="N30" s="70">
        <f t="shared" si="16"/>
        <v>2.2646449704141997E-2</v>
      </c>
      <c r="O30" s="70">
        <f t="shared" si="14"/>
        <v>7.8507692307692309</v>
      </c>
      <c r="P30" s="70">
        <f t="shared" si="5"/>
        <v>15.701538461538462</v>
      </c>
      <c r="Q30" s="70">
        <f t="shared" si="6"/>
        <v>2.9440384615384612</v>
      </c>
    </row>
    <row r="31" spans="1:25" x14ac:dyDescent="0.2">
      <c r="A31" s="70">
        <f t="shared" si="0"/>
        <v>60</v>
      </c>
      <c r="B31" s="73">
        <f t="shared" si="1"/>
        <v>12.115384615384615</v>
      </c>
      <c r="C31" s="71">
        <f t="shared" si="2"/>
        <v>0</v>
      </c>
      <c r="D31" s="227">
        <f>B2</f>
        <v>243.9</v>
      </c>
      <c r="E31" s="69">
        <f t="shared" si="7"/>
        <v>5.0934939759036144</v>
      </c>
      <c r="F31" s="71">
        <f t="shared" si="8"/>
        <v>0.16200000000000001</v>
      </c>
      <c r="G31" s="69">
        <f t="shared" si="9"/>
        <v>0.16200000000000001</v>
      </c>
      <c r="H31" s="71">
        <f t="shared" si="3"/>
        <v>0.16200000000000001</v>
      </c>
      <c r="I31" s="72">
        <f t="shared" si="10"/>
        <v>2.884615384615383E-3</v>
      </c>
      <c r="J31" s="79">
        <f t="shared" si="15"/>
        <v>6.0576923076923056E-2</v>
      </c>
      <c r="K31" s="220">
        <f t="shared" si="11"/>
        <v>60.576923076923059</v>
      </c>
      <c r="L31" s="167">
        <f t="shared" si="12"/>
        <v>1</v>
      </c>
      <c r="M31" s="70">
        <f t="shared" si="4"/>
        <v>3.1441320838911198</v>
      </c>
      <c r="N31" s="70">
        <f t="shared" si="16"/>
        <v>2.2376849112426024E-2</v>
      </c>
      <c r="O31" s="70">
        <f t="shared" si="14"/>
        <v>7.7573076923076929</v>
      </c>
      <c r="P31" s="70">
        <f t="shared" si="5"/>
        <v>15.514615384615386</v>
      </c>
      <c r="Q31" s="70">
        <f t="shared" si="6"/>
        <v>2.9089903846153846</v>
      </c>
    </row>
    <row r="32" spans="1:25" x14ac:dyDescent="0.2">
      <c r="A32" s="70">
        <f t="shared" si="0"/>
        <v>60</v>
      </c>
      <c r="B32" s="73">
        <f t="shared" si="1"/>
        <v>12.692307692307692</v>
      </c>
      <c r="C32" s="71">
        <f t="shared" si="2"/>
        <v>0</v>
      </c>
      <c r="D32" s="227">
        <f>B2</f>
        <v>243.9</v>
      </c>
      <c r="E32" s="69">
        <f t="shared" si="7"/>
        <v>5.1556097560975616</v>
      </c>
      <c r="F32" s="71">
        <f t="shared" si="8"/>
        <v>0.16200000000000001</v>
      </c>
      <c r="G32" s="69">
        <f t="shared" si="9"/>
        <v>0.16200000000000001</v>
      </c>
      <c r="H32" s="71">
        <f t="shared" si="3"/>
        <v>0.16200000000000001</v>
      </c>
      <c r="I32" s="72">
        <f t="shared" si="10"/>
        <v>2.884615384615383E-3</v>
      </c>
      <c r="J32" s="79">
        <f t="shared" si="15"/>
        <v>6.3461538461538444E-2</v>
      </c>
      <c r="K32" s="220">
        <f t="shared" si="11"/>
        <v>63.461538461538446</v>
      </c>
      <c r="L32" s="167">
        <f t="shared" si="12"/>
        <v>1</v>
      </c>
      <c r="M32" s="70">
        <f t="shared" si="4"/>
        <v>3.1824751580849147</v>
      </c>
      <c r="N32" s="70">
        <f t="shared" si="16"/>
        <v>2.2107248520710047E-2</v>
      </c>
      <c r="O32" s="70">
        <f t="shared" si="14"/>
        <v>7.663846153846154</v>
      </c>
      <c r="P32" s="70">
        <f t="shared" si="5"/>
        <v>15.327692307692308</v>
      </c>
      <c r="Q32" s="70">
        <f t="shared" si="6"/>
        <v>2.8739423076923076</v>
      </c>
    </row>
    <row r="33" spans="1:17" x14ac:dyDescent="0.2">
      <c r="A33" s="70">
        <f t="shared" si="0"/>
        <v>60</v>
      </c>
      <c r="B33" s="73">
        <f t="shared" si="1"/>
        <v>13.269230769230768</v>
      </c>
      <c r="C33" s="71">
        <f t="shared" si="2"/>
        <v>0</v>
      </c>
      <c r="D33" s="227">
        <f>B2</f>
        <v>243.9</v>
      </c>
      <c r="E33" s="69">
        <f t="shared" si="7"/>
        <v>5.2192592592592595</v>
      </c>
      <c r="F33" s="71">
        <f t="shared" si="8"/>
        <v>0.16200000000000001</v>
      </c>
      <c r="G33" s="69">
        <f t="shared" si="9"/>
        <v>0.16200000000000001</v>
      </c>
      <c r="H33" s="71">
        <f t="shared" si="3"/>
        <v>0.16200000000000001</v>
      </c>
      <c r="I33" s="72">
        <f t="shared" si="10"/>
        <v>2.884615384615383E-3</v>
      </c>
      <c r="J33" s="79">
        <f t="shared" si="15"/>
        <v>6.6346153846153832E-2</v>
      </c>
      <c r="K33" s="220">
        <f t="shared" si="11"/>
        <v>66.34615384615384</v>
      </c>
      <c r="L33" s="167">
        <f t="shared" si="12"/>
        <v>1</v>
      </c>
      <c r="M33" s="70">
        <f t="shared" si="4"/>
        <v>3.2217649748513946</v>
      </c>
      <c r="N33" s="70">
        <f t="shared" si="16"/>
        <v>2.1837647928994071E-2</v>
      </c>
      <c r="O33" s="70">
        <f t="shared" si="14"/>
        <v>7.5703846153846159</v>
      </c>
      <c r="P33" s="70">
        <f t="shared" si="5"/>
        <v>15.140769230769232</v>
      </c>
      <c r="Q33" s="70">
        <f t="shared" si="6"/>
        <v>2.8388942307692306</v>
      </c>
    </row>
    <row r="34" spans="1:17" x14ac:dyDescent="0.2">
      <c r="A34" s="70">
        <f t="shared" si="0"/>
        <v>60</v>
      </c>
      <c r="B34" s="73">
        <f t="shared" si="1"/>
        <v>13.846153846153847</v>
      </c>
      <c r="C34" s="71">
        <f t="shared" si="2"/>
        <v>0</v>
      </c>
      <c r="D34" s="227">
        <f>B2</f>
        <v>243.9</v>
      </c>
      <c r="E34" s="69">
        <f t="shared" si="7"/>
        <v>5.2845000000000004</v>
      </c>
      <c r="F34" s="71">
        <f t="shared" si="8"/>
        <v>0.16200000000000001</v>
      </c>
      <c r="G34" s="69">
        <f t="shared" si="9"/>
        <v>0.16200000000000001</v>
      </c>
      <c r="H34" s="71">
        <f t="shared" si="3"/>
        <v>0.16200000000000001</v>
      </c>
      <c r="I34" s="72">
        <f t="shared" si="10"/>
        <v>2.8846153846153921E-3</v>
      </c>
      <c r="J34" s="79">
        <f t="shared" si="15"/>
        <v>6.9230769230769221E-2</v>
      </c>
      <c r="K34" s="220">
        <f t="shared" si="11"/>
        <v>69.230769230769226</v>
      </c>
      <c r="L34" s="167">
        <f t="shared" si="12"/>
        <v>1</v>
      </c>
      <c r="M34" s="70">
        <f t="shared" si="4"/>
        <v>3.2620370370370373</v>
      </c>
      <c r="N34" s="70">
        <f t="shared" si="16"/>
        <v>2.1568047337278164E-2</v>
      </c>
      <c r="O34" s="70">
        <f t="shared" si="14"/>
        <v>7.476923076923077</v>
      </c>
      <c r="P34" s="70">
        <f t="shared" si="5"/>
        <v>14.953846153846154</v>
      </c>
      <c r="Q34" s="70">
        <f t="shared" si="6"/>
        <v>2.8038461538461537</v>
      </c>
    </row>
    <row r="35" spans="1:17" x14ac:dyDescent="0.2">
      <c r="A35" s="70">
        <f t="shared" si="0"/>
        <v>60</v>
      </c>
      <c r="B35" s="73">
        <f t="shared" si="1"/>
        <v>14.423076923076923</v>
      </c>
      <c r="C35" s="71">
        <f t="shared" si="2"/>
        <v>0</v>
      </c>
      <c r="D35" s="227">
        <f>B2</f>
        <v>243.9</v>
      </c>
      <c r="E35" s="69">
        <f t="shared" si="7"/>
        <v>5.3513924050632911</v>
      </c>
      <c r="F35" s="71">
        <f t="shared" si="8"/>
        <v>0.16200000000000001</v>
      </c>
      <c r="G35" s="69">
        <f t="shared" si="9"/>
        <v>0.16200000000000001</v>
      </c>
      <c r="H35" s="71">
        <f t="shared" si="3"/>
        <v>0.16200000000000001</v>
      </c>
      <c r="I35" s="72">
        <f t="shared" si="10"/>
        <v>2.884615384615383E-3</v>
      </c>
      <c r="J35" s="79">
        <f t="shared" si="15"/>
        <v>7.2115384615384609E-2</v>
      </c>
      <c r="K35" s="220">
        <f t="shared" si="11"/>
        <v>72.115384615384613</v>
      </c>
      <c r="L35" s="167">
        <f t="shared" si="12"/>
        <v>1</v>
      </c>
      <c r="M35" s="70">
        <f t="shared" si="4"/>
        <v>3.3033286451007968</v>
      </c>
      <c r="N35" s="70">
        <f t="shared" si="16"/>
        <v>2.1298446745562121E-2</v>
      </c>
      <c r="O35" s="70">
        <f t="shared" si="14"/>
        <v>7.383461538461539</v>
      </c>
      <c r="P35" s="70">
        <f t="shared" si="5"/>
        <v>14.766923076923078</v>
      </c>
      <c r="Q35" s="70">
        <f t="shared" si="6"/>
        <v>2.7687980769230771</v>
      </c>
    </row>
    <row r="36" spans="1:17" x14ac:dyDescent="0.2">
      <c r="A36" s="70">
        <f t="shared" si="0"/>
        <v>60</v>
      </c>
      <c r="B36" s="73">
        <f t="shared" si="1"/>
        <v>15</v>
      </c>
      <c r="C36" s="71">
        <f t="shared" si="2"/>
        <v>0</v>
      </c>
      <c r="D36" s="227">
        <f>B2</f>
        <v>243.9</v>
      </c>
      <c r="E36" s="69">
        <f t="shared" si="7"/>
        <v>5.42</v>
      </c>
      <c r="F36" s="71">
        <f t="shared" si="8"/>
        <v>0.16200000000000001</v>
      </c>
      <c r="G36" s="69">
        <f t="shared" si="9"/>
        <v>0.16200000000000001</v>
      </c>
      <c r="H36" s="71">
        <f t="shared" si="3"/>
        <v>0.16200000000000001</v>
      </c>
      <c r="I36" s="72">
        <f t="shared" si="10"/>
        <v>2.884615384615383E-3</v>
      </c>
      <c r="J36" s="79">
        <f t="shared" si="15"/>
        <v>7.4999999999999997E-2</v>
      </c>
      <c r="K36" s="220">
        <f t="shared" si="11"/>
        <v>75</v>
      </c>
      <c r="L36" s="167">
        <f t="shared" si="12"/>
        <v>1</v>
      </c>
      <c r="M36" s="70">
        <f t="shared" si="4"/>
        <v>3.3456790123456792</v>
      </c>
      <c r="N36" s="70">
        <f t="shared" si="16"/>
        <v>2.1028846153846141E-2</v>
      </c>
      <c r="O36" s="70">
        <f t="shared" si="14"/>
        <v>7.29</v>
      </c>
      <c r="P36" s="70">
        <f t="shared" si="5"/>
        <v>14.58</v>
      </c>
      <c r="Q36" s="70">
        <f t="shared" si="6"/>
        <v>2.7337500000000001</v>
      </c>
    </row>
    <row r="37" spans="1:17" x14ac:dyDescent="0.2">
      <c r="A37" s="70">
        <f t="shared" si="0"/>
        <v>60</v>
      </c>
      <c r="B37" s="73">
        <f t="shared" si="1"/>
        <v>15.576923076923078</v>
      </c>
      <c r="C37" s="71">
        <f t="shared" si="2"/>
        <v>0</v>
      </c>
      <c r="D37" s="227">
        <f>B2</f>
        <v>243.9</v>
      </c>
      <c r="E37" s="69">
        <f t="shared" si="7"/>
        <v>5.4903896103896113</v>
      </c>
      <c r="F37" s="71">
        <f t="shared" si="8"/>
        <v>0.16200000000000001</v>
      </c>
      <c r="G37" s="69">
        <f t="shared" si="9"/>
        <v>0.16200000000000001</v>
      </c>
      <c r="H37" s="71">
        <f t="shared" si="3"/>
        <v>0.16200000000000001</v>
      </c>
      <c r="I37" s="72">
        <f t="shared" si="10"/>
        <v>2.8846153846153921E-3</v>
      </c>
      <c r="J37" s="79">
        <f t="shared" si="15"/>
        <v>7.7884615384615385E-2</v>
      </c>
      <c r="K37" s="220">
        <f t="shared" si="11"/>
        <v>77.884615384615387</v>
      </c>
      <c r="L37" s="167">
        <f t="shared" si="12"/>
        <v>1</v>
      </c>
      <c r="M37" s="70">
        <f t="shared" si="4"/>
        <v>3.3891293891293897</v>
      </c>
      <c r="N37" s="70">
        <f t="shared" si="16"/>
        <v>2.075924556213023E-2</v>
      </c>
      <c r="O37" s="70">
        <f t="shared" si="14"/>
        <v>7.1965384615384611</v>
      </c>
      <c r="P37" s="70">
        <f t="shared" si="5"/>
        <v>14.393076923076922</v>
      </c>
      <c r="Q37" s="70">
        <f t="shared" si="6"/>
        <v>2.6987019230769227</v>
      </c>
    </row>
    <row r="38" spans="1:17" x14ac:dyDescent="0.2">
      <c r="A38" s="70">
        <f t="shared" si="0"/>
        <v>60</v>
      </c>
      <c r="B38" s="73">
        <f t="shared" si="1"/>
        <v>16.153846153846153</v>
      </c>
      <c r="C38" s="71">
        <f t="shared" si="2"/>
        <v>0</v>
      </c>
      <c r="D38" s="227">
        <f>B2</f>
        <v>243.9</v>
      </c>
      <c r="E38" s="69">
        <f t="shared" si="7"/>
        <v>5.5626315789473688</v>
      </c>
      <c r="F38" s="71">
        <f t="shared" si="8"/>
        <v>0.16200000000000001</v>
      </c>
      <c r="G38" s="69">
        <f t="shared" si="9"/>
        <v>0.16200000000000001</v>
      </c>
      <c r="H38" s="71">
        <f t="shared" si="3"/>
        <v>0.16200000000000001</v>
      </c>
      <c r="I38" s="72">
        <f t="shared" si="10"/>
        <v>2.8846153846153744E-3</v>
      </c>
      <c r="J38" s="79">
        <f t="shared" si="15"/>
        <v>8.076923076923076E-2</v>
      </c>
      <c r="K38" s="220">
        <f t="shared" si="11"/>
        <v>80.769230769230759</v>
      </c>
      <c r="L38" s="167">
        <f t="shared" si="12"/>
        <v>1</v>
      </c>
      <c r="M38" s="70">
        <f t="shared" si="4"/>
        <v>3.433723196881092</v>
      </c>
      <c r="N38" s="70">
        <f t="shared" si="16"/>
        <v>2.0489644970414129E-2</v>
      </c>
      <c r="O38" s="70">
        <f t="shared" si="14"/>
        <v>7.1030769230769231</v>
      </c>
      <c r="P38" s="70">
        <f t="shared" si="5"/>
        <v>14.206153846153846</v>
      </c>
      <c r="Q38" s="70">
        <f t="shared" si="6"/>
        <v>2.6636538461538461</v>
      </c>
    </row>
    <row r="39" spans="1:17" x14ac:dyDescent="0.2">
      <c r="A39" s="70">
        <f t="shared" si="0"/>
        <v>60</v>
      </c>
      <c r="B39" s="73">
        <f t="shared" si="1"/>
        <v>16.73076923076923</v>
      </c>
      <c r="C39" s="71">
        <f t="shared" si="2"/>
        <v>0</v>
      </c>
      <c r="D39" s="227">
        <f>B2</f>
        <v>243.9</v>
      </c>
      <c r="E39" s="69">
        <f t="shared" si="7"/>
        <v>5.6367999999999991</v>
      </c>
      <c r="F39" s="71">
        <f t="shared" si="8"/>
        <v>0.16200000000000001</v>
      </c>
      <c r="G39" s="69">
        <f t="shared" si="9"/>
        <v>0.16200000000000001</v>
      </c>
      <c r="H39" s="71">
        <f t="shared" si="3"/>
        <v>0.16200000000000001</v>
      </c>
      <c r="I39" s="72">
        <f t="shared" si="10"/>
        <v>2.884615384615383E-3</v>
      </c>
      <c r="J39" s="79">
        <f t="shared" si="15"/>
        <v>8.3653846153846148E-2</v>
      </c>
      <c r="K39" s="220">
        <f t="shared" si="11"/>
        <v>83.653846153846146</v>
      </c>
      <c r="L39" s="167">
        <f t="shared" si="12"/>
        <v>1</v>
      </c>
      <c r="M39" s="70">
        <f t="shared" si="4"/>
        <v>3.4795061728395056</v>
      </c>
      <c r="N39" s="70">
        <f t="shared" si="16"/>
        <v>2.0220044378698215E-2</v>
      </c>
      <c r="O39" s="70">
        <f t="shared" si="14"/>
        <v>7.0096153846153859</v>
      </c>
      <c r="P39" s="70">
        <f t="shared" si="5"/>
        <v>14.019230769230772</v>
      </c>
      <c r="Q39" s="70">
        <f t="shared" si="6"/>
        <v>2.6286057692307696</v>
      </c>
    </row>
    <row r="40" spans="1:17" x14ac:dyDescent="0.2">
      <c r="A40" s="70">
        <f t="shared" si="0"/>
        <v>60</v>
      </c>
      <c r="B40" s="73">
        <f t="shared" si="1"/>
        <v>17.307692307692307</v>
      </c>
      <c r="C40" s="71">
        <f t="shared" si="2"/>
        <v>0</v>
      </c>
      <c r="D40" s="227">
        <f>B2</f>
        <v>243.9</v>
      </c>
      <c r="E40" s="69">
        <f t="shared" si="7"/>
        <v>5.712972972972973</v>
      </c>
      <c r="F40" s="71">
        <f t="shared" si="8"/>
        <v>0.16200000000000001</v>
      </c>
      <c r="G40" s="69">
        <f t="shared" si="9"/>
        <v>0.16200000000000001</v>
      </c>
      <c r="H40" s="71">
        <f t="shared" si="3"/>
        <v>0.16200000000000001</v>
      </c>
      <c r="I40" s="72">
        <f t="shared" si="10"/>
        <v>2.884615384615383E-3</v>
      </c>
      <c r="J40" s="79">
        <f t="shared" si="15"/>
        <v>8.6538461538461536E-2</v>
      </c>
      <c r="K40" s="220">
        <f t="shared" si="11"/>
        <v>86.538461538461533</v>
      </c>
      <c r="L40" s="167">
        <f t="shared" si="12"/>
        <v>1</v>
      </c>
      <c r="M40" s="70">
        <f t="shared" si="4"/>
        <v>3.5265265265265269</v>
      </c>
      <c r="N40" s="70">
        <f t="shared" si="16"/>
        <v>1.9950443786982238E-2</v>
      </c>
      <c r="O40" s="70">
        <f t="shared" si="14"/>
        <v>6.916153846153847</v>
      </c>
      <c r="P40" s="70">
        <f t="shared" si="5"/>
        <v>13.832307692307694</v>
      </c>
      <c r="Q40" s="70">
        <f t="shared" si="6"/>
        <v>2.5935576923076922</v>
      </c>
    </row>
    <row r="41" spans="1:17" x14ac:dyDescent="0.2">
      <c r="A41" s="70">
        <f t="shared" si="0"/>
        <v>60</v>
      </c>
      <c r="B41" s="73">
        <f t="shared" si="1"/>
        <v>17.884615384615383</v>
      </c>
      <c r="C41" s="71">
        <f t="shared" si="2"/>
        <v>0</v>
      </c>
      <c r="D41" s="227">
        <f>B2</f>
        <v>243.9</v>
      </c>
      <c r="E41" s="69">
        <f t="shared" si="7"/>
        <v>5.7912328767123293</v>
      </c>
      <c r="F41" s="71">
        <f t="shared" si="8"/>
        <v>0.16200000000000001</v>
      </c>
      <c r="G41" s="69">
        <f t="shared" si="9"/>
        <v>0.16200000000000001</v>
      </c>
      <c r="H41" s="71">
        <f t="shared" si="3"/>
        <v>0.16200000000000001</v>
      </c>
      <c r="I41" s="72">
        <f t="shared" si="10"/>
        <v>2.884615384615383E-3</v>
      </c>
      <c r="J41" s="79">
        <f t="shared" si="15"/>
        <v>8.9423076923076925E-2</v>
      </c>
      <c r="K41" s="220">
        <f t="shared" si="11"/>
        <v>89.42307692307692</v>
      </c>
      <c r="L41" s="167">
        <f t="shared" si="12"/>
        <v>1</v>
      </c>
      <c r="M41" s="70">
        <f t="shared" si="4"/>
        <v>3.5748351090816848</v>
      </c>
      <c r="N41" s="70">
        <f t="shared" si="16"/>
        <v>1.9680843195266261E-2</v>
      </c>
      <c r="O41" s="70">
        <f t="shared" si="14"/>
        <v>6.8226923076923072</v>
      </c>
      <c r="P41" s="70">
        <f t="shared" si="5"/>
        <v>13.645384615384614</v>
      </c>
      <c r="Q41" s="70">
        <f t="shared" si="6"/>
        <v>2.5585096153846152</v>
      </c>
    </row>
    <row r="42" spans="1:17" x14ac:dyDescent="0.2">
      <c r="A42" s="70">
        <f t="shared" ref="A42:A73" si="17">VINMAX</f>
        <v>60</v>
      </c>
      <c r="B42" s="73">
        <f t="shared" ref="B42:B73" si="18">VINMAX*((ROW()-10)/104)</f>
        <v>18.461538461538463</v>
      </c>
      <c r="C42" s="71">
        <f t="shared" ref="C42:C73" si="19">IF(B42&gt;=$H$2,IF($D$2="CC", $G$2, B42/$G$2), 0)</f>
        <v>0</v>
      </c>
      <c r="D42" s="227">
        <f>B2</f>
        <v>243.9</v>
      </c>
      <c r="E42" s="69">
        <f t="shared" si="7"/>
        <v>5.8716666666666679</v>
      </c>
      <c r="F42" s="71">
        <f t="shared" ref="F42:F73" si="20">I_Cout_ss+C42</f>
        <v>0.16200000000000001</v>
      </c>
      <c r="G42" s="69">
        <f t="shared" si="9"/>
        <v>0.16200000000000001</v>
      </c>
      <c r="H42" s="71">
        <f t="shared" ref="H42:H73" si="21">G42-C42</f>
        <v>0.16200000000000001</v>
      </c>
      <c r="I42" s="72">
        <f t="shared" si="10"/>
        <v>2.8846153846154008E-3</v>
      </c>
      <c r="J42" s="79">
        <f t="shared" si="15"/>
        <v>9.2307692307692327E-2</v>
      </c>
      <c r="K42" s="220">
        <f t="shared" si="11"/>
        <v>92.307692307692321</v>
      </c>
      <c r="L42" s="167">
        <f t="shared" si="12"/>
        <v>1</v>
      </c>
      <c r="M42" s="70">
        <f t="shared" ref="M42:M73" si="22">1/COUTMAX*(E42/2-C42)*1000</f>
        <v>3.6244855967078196</v>
      </c>
      <c r="N42" s="70">
        <f t="shared" si="16"/>
        <v>1.9411242603550403E-2</v>
      </c>
      <c r="O42" s="70">
        <f t="shared" si="14"/>
        <v>6.7292307692307682</v>
      </c>
      <c r="P42" s="70">
        <f t="shared" ref="P42:P73" si="23">(A42-B42)*(I_Cout_ss*$Q$2+C42)</f>
        <v>13.458461538461536</v>
      </c>
      <c r="Q42" s="70">
        <f t="shared" ref="Q42:Q73" si="24">(A42-B42)*(I_Cout_ss*$R$2+C42)</f>
        <v>2.5234615384615382</v>
      </c>
    </row>
    <row r="43" spans="1:17" x14ac:dyDescent="0.2">
      <c r="A43" s="70">
        <f t="shared" si="17"/>
        <v>60</v>
      </c>
      <c r="B43" s="73">
        <f t="shared" si="18"/>
        <v>19.038461538461537</v>
      </c>
      <c r="C43" s="71">
        <f t="shared" si="19"/>
        <v>0</v>
      </c>
      <c r="D43" s="227">
        <f>B2</f>
        <v>243.9</v>
      </c>
      <c r="E43" s="69">
        <f t="shared" si="7"/>
        <v>5.9543661971830977</v>
      </c>
      <c r="F43" s="71">
        <f t="shared" si="20"/>
        <v>0.16200000000000001</v>
      </c>
      <c r="G43" s="69">
        <f t="shared" si="9"/>
        <v>0.16200000000000001</v>
      </c>
      <c r="H43" s="71">
        <f t="shared" si="21"/>
        <v>0.16200000000000001</v>
      </c>
      <c r="I43" s="72">
        <f t="shared" ref="I43:I74" si="25">(COUTMAX/1000000)*(B43-B42)/H43</f>
        <v>2.8846153846153653E-3</v>
      </c>
      <c r="J43" s="79">
        <f t="shared" si="15"/>
        <v>9.5192307692307687E-2</v>
      </c>
      <c r="K43" s="220">
        <f t="shared" si="11"/>
        <v>95.192307692307693</v>
      </c>
      <c r="L43" s="167">
        <f t="shared" si="12"/>
        <v>1</v>
      </c>
      <c r="M43" s="70">
        <f t="shared" si="22"/>
        <v>3.6755346896191963</v>
      </c>
      <c r="N43" s="70">
        <f t="shared" si="16"/>
        <v>1.9141642011834194E-2</v>
      </c>
      <c r="O43" s="70">
        <f t="shared" si="14"/>
        <v>6.635769230769232</v>
      </c>
      <c r="P43" s="70">
        <f t="shared" si="23"/>
        <v>13.271538461538464</v>
      </c>
      <c r="Q43" s="70">
        <f t="shared" si="24"/>
        <v>2.4884134615384617</v>
      </c>
    </row>
    <row r="44" spans="1:17" x14ac:dyDescent="0.2">
      <c r="A44" s="70">
        <f t="shared" si="17"/>
        <v>60</v>
      </c>
      <c r="B44" s="73">
        <f t="shared" si="18"/>
        <v>19.615384615384617</v>
      </c>
      <c r="C44" s="71">
        <f t="shared" si="19"/>
        <v>0</v>
      </c>
      <c r="D44" s="227">
        <f>B2</f>
        <v>243.9</v>
      </c>
      <c r="E44" s="69">
        <f t="shared" si="7"/>
        <v>6.0394285714285711</v>
      </c>
      <c r="F44" s="71">
        <f t="shared" si="20"/>
        <v>0.16200000000000001</v>
      </c>
      <c r="G44" s="69">
        <f t="shared" si="9"/>
        <v>0.16200000000000001</v>
      </c>
      <c r="H44" s="71">
        <f t="shared" si="21"/>
        <v>0.16200000000000001</v>
      </c>
      <c r="I44" s="72">
        <f t="shared" si="25"/>
        <v>2.8846153846154008E-3</v>
      </c>
      <c r="J44" s="79">
        <f t="shared" si="15"/>
        <v>9.8076923076923089E-2</v>
      </c>
      <c r="K44" s="220">
        <f t="shared" si="11"/>
        <v>98.076923076923094</v>
      </c>
      <c r="L44" s="167">
        <f t="shared" si="12"/>
        <v>1</v>
      </c>
      <c r="M44" s="70">
        <f t="shared" si="22"/>
        <v>3.7280423280423278</v>
      </c>
      <c r="N44" s="70">
        <f t="shared" si="16"/>
        <v>1.887204142011845E-2</v>
      </c>
      <c r="O44" s="70">
        <f t="shared" si="14"/>
        <v>6.542307692307693</v>
      </c>
      <c r="P44" s="70">
        <f t="shared" si="23"/>
        <v>13.084615384615386</v>
      </c>
      <c r="Q44" s="70">
        <f t="shared" si="24"/>
        <v>2.4533653846153847</v>
      </c>
    </row>
    <row r="45" spans="1:17" x14ac:dyDescent="0.2">
      <c r="A45" s="70">
        <f t="shared" si="17"/>
        <v>60</v>
      </c>
      <c r="B45" s="73">
        <f t="shared" si="18"/>
        <v>20.192307692307693</v>
      </c>
      <c r="C45" s="71">
        <f t="shared" si="19"/>
        <v>0</v>
      </c>
      <c r="D45" s="227">
        <f>B2</f>
        <v>243.9</v>
      </c>
      <c r="E45" s="69">
        <f t="shared" si="7"/>
        <v>6.1269565217391309</v>
      </c>
      <c r="F45" s="71">
        <f t="shared" si="20"/>
        <v>0.16200000000000001</v>
      </c>
      <c r="G45" s="69">
        <f t="shared" si="9"/>
        <v>0.16200000000000001</v>
      </c>
      <c r="H45" s="71">
        <f t="shared" si="21"/>
        <v>0.16200000000000001</v>
      </c>
      <c r="I45" s="72">
        <f t="shared" si="25"/>
        <v>2.884615384615383E-3</v>
      </c>
      <c r="J45" s="79">
        <f t="shared" si="15"/>
        <v>0.10096153846153848</v>
      </c>
      <c r="K45" s="220">
        <f t="shared" si="11"/>
        <v>100.96153846153848</v>
      </c>
      <c r="L45" s="167">
        <f t="shared" si="12"/>
        <v>1</v>
      </c>
      <c r="M45" s="70">
        <f t="shared" si="22"/>
        <v>3.7820719269994636</v>
      </c>
      <c r="N45" s="70">
        <f t="shared" si="16"/>
        <v>1.8602440828402355E-2</v>
      </c>
      <c r="O45" s="70">
        <f t="shared" si="14"/>
        <v>6.4488461538461541</v>
      </c>
      <c r="P45" s="70">
        <f t="shared" si="23"/>
        <v>12.897692307692308</v>
      </c>
      <c r="Q45" s="70">
        <f t="shared" si="24"/>
        <v>2.4183173076923077</v>
      </c>
    </row>
    <row r="46" spans="1:17" x14ac:dyDescent="0.2">
      <c r="A46" s="70">
        <f t="shared" si="17"/>
        <v>60</v>
      </c>
      <c r="B46" s="73">
        <f t="shared" si="18"/>
        <v>20.76923076923077</v>
      </c>
      <c r="C46" s="71">
        <f t="shared" si="19"/>
        <v>0</v>
      </c>
      <c r="D46" s="227">
        <f>B2</f>
        <v>243.9</v>
      </c>
      <c r="E46" s="69">
        <f t="shared" si="7"/>
        <v>6.2170588235294124</v>
      </c>
      <c r="F46" s="71">
        <f t="shared" si="20"/>
        <v>0.16200000000000001</v>
      </c>
      <c r="G46" s="69">
        <f t="shared" si="9"/>
        <v>0.16200000000000001</v>
      </c>
      <c r="H46" s="71">
        <f t="shared" si="21"/>
        <v>0.16200000000000001</v>
      </c>
      <c r="I46" s="72">
        <f t="shared" si="25"/>
        <v>2.884615384615383E-3</v>
      </c>
      <c r="J46" s="79">
        <f t="shared" si="15"/>
        <v>0.10384615384615387</v>
      </c>
      <c r="K46" s="220">
        <f t="shared" si="11"/>
        <v>103.84615384615387</v>
      </c>
      <c r="L46" s="167">
        <f t="shared" si="12"/>
        <v>1</v>
      </c>
      <c r="M46" s="70">
        <f t="shared" si="22"/>
        <v>3.8376906318082793</v>
      </c>
      <c r="N46" s="70">
        <f t="shared" si="16"/>
        <v>1.8332840236686378E-2</v>
      </c>
      <c r="O46" s="70">
        <f t="shared" si="14"/>
        <v>6.3553846153846152</v>
      </c>
      <c r="P46" s="70">
        <f t="shared" si="23"/>
        <v>12.71076923076923</v>
      </c>
      <c r="Q46" s="70">
        <f t="shared" si="24"/>
        <v>2.3832692307692303</v>
      </c>
    </row>
    <row r="47" spans="1:17" x14ac:dyDescent="0.2">
      <c r="A47" s="70">
        <f t="shared" si="17"/>
        <v>60</v>
      </c>
      <c r="B47" s="73">
        <f t="shared" si="18"/>
        <v>21.346153846153847</v>
      </c>
      <c r="C47" s="71">
        <f t="shared" si="19"/>
        <v>0</v>
      </c>
      <c r="D47" s="227">
        <f>B2</f>
        <v>243.9</v>
      </c>
      <c r="E47" s="69">
        <f t="shared" si="7"/>
        <v>6.3098507462686566</v>
      </c>
      <c r="F47" s="71">
        <f t="shared" si="20"/>
        <v>0.16200000000000001</v>
      </c>
      <c r="G47" s="69">
        <f t="shared" si="9"/>
        <v>0.16200000000000001</v>
      </c>
      <c r="H47" s="71">
        <f t="shared" si="21"/>
        <v>0.16200000000000001</v>
      </c>
      <c r="I47" s="72">
        <f t="shared" si="25"/>
        <v>2.884615384615383E-3</v>
      </c>
      <c r="J47" s="79">
        <f t="shared" si="15"/>
        <v>0.10673076923076925</v>
      </c>
      <c r="K47" s="220">
        <f t="shared" si="11"/>
        <v>106.73076923076925</v>
      </c>
      <c r="L47" s="167">
        <f t="shared" si="12"/>
        <v>1</v>
      </c>
      <c r="M47" s="70">
        <f t="shared" si="22"/>
        <v>3.8949695964621336</v>
      </c>
      <c r="N47" s="70">
        <f t="shared" si="16"/>
        <v>1.8063239644970405E-2</v>
      </c>
      <c r="O47" s="70">
        <f t="shared" si="14"/>
        <v>6.2619230769230771</v>
      </c>
      <c r="P47" s="70">
        <f t="shared" si="23"/>
        <v>12.523846153846154</v>
      </c>
      <c r="Q47" s="70">
        <f t="shared" si="24"/>
        <v>2.3482211538461537</v>
      </c>
    </row>
    <row r="48" spans="1:17" x14ac:dyDescent="0.2">
      <c r="A48" s="70">
        <f t="shared" si="17"/>
        <v>60</v>
      </c>
      <c r="B48" s="73">
        <f t="shared" si="18"/>
        <v>21.923076923076923</v>
      </c>
      <c r="C48" s="71">
        <f t="shared" si="19"/>
        <v>0</v>
      </c>
      <c r="D48" s="227">
        <f>B2</f>
        <v>243.9</v>
      </c>
      <c r="E48" s="69">
        <f t="shared" si="7"/>
        <v>6.4054545454545453</v>
      </c>
      <c r="F48" s="71">
        <f t="shared" si="20"/>
        <v>0.16200000000000001</v>
      </c>
      <c r="G48" s="69">
        <f t="shared" si="9"/>
        <v>0.16200000000000001</v>
      </c>
      <c r="H48" s="71">
        <f t="shared" si="21"/>
        <v>0.16200000000000001</v>
      </c>
      <c r="I48" s="72">
        <f t="shared" si="25"/>
        <v>2.884615384615383E-3</v>
      </c>
      <c r="J48" s="79">
        <f t="shared" si="15"/>
        <v>0.10961538461538464</v>
      </c>
      <c r="K48" s="220">
        <f t="shared" si="11"/>
        <v>109.61538461538464</v>
      </c>
      <c r="L48" s="167">
        <f t="shared" si="12"/>
        <v>1</v>
      </c>
      <c r="M48" s="70">
        <f t="shared" si="22"/>
        <v>3.953984287317621</v>
      </c>
      <c r="N48" s="70">
        <f t="shared" si="16"/>
        <v>1.7793639053254429E-2</v>
      </c>
      <c r="O48" s="70">
        <f t="shared" si="14"/>
        <v>6.1684615384615391</v>
      </c>
      <c r="P48" s="70">
        <f t="shared" si="23"/>
        <v>12.336923076923078</v>
      </c>
      <c r="Q48" s="70">
        <f t="shared" si="24"/>
        <v>2.3131730769230772</v>
      </c>
    </row>
    <row r="49" spans="1:17" x14ac:dyDescent="0.2">
      <c r="A49" s="70">
        <f t="shared" si="17"/>
        <v>60</v>
      </c>
      <c r="B49" s="73">
        <f t="shared" si="18"/>
        <v>22.5</v>
      </c>
      <c r="C49" s="71">
        <f t="shared" si="19"/>
        <v>0</v>
      </c>
      <c r="D49" s="227">
        <f>B2</f>
        <v>243.9</v>
      </c>
      <c r="E49" s="69">
        <f t="shared" si="7"/>
        <v>6.5040000000000004</v>
      </c>
      <c r="F49" s="71">
        <f t="shared" si="20"/>
        <v>0.16200000000000001</v>
      </c>
      <c r="G49" s="69">
        <f t="shared" si="9"/>
        <v>0.16200000000000001</v>
      </c>
      <c r="H49" s="71">
        <f t="shared" si="21"/>
        <v>0.16200000000000001</v>
      </c>
      <c r="I49" s="72">
        <f t="shared" si="25"/>
        <v>2.884615384615383E-3</v>
      </c>
      <c r="J49" s="79">
        <f t="shared" si="15"/>
        <v>0.11250000000000003</v>
      </c>
      <c r="K49" s="220">
        <f t="shared" si="11"/>
        <v>112.50000000000003</v>
      </c>
      <c r="L49" s="167">
        <f t="shared" si="12"/>
        <v>1</v>
      </c>
      <c r="M49" s="70">
        <f t="shared" si="22"/>
        <v>4.0148148148148151</v>
      </c>
      <c r="N49" s="70">
        <f t="shared" si="16"/>
        <v>1.7524038461538452E-2</v>
      </c>
      <c r="O49" s="70">
        <f t="shared" si="14"/>
        <v>6.0750000000000002</v>
      </c>
      <c r="P49" s="70">
        <f t="shared" si="23"/>
        <v>12.15</v>
      </c>
      <c r="Q49" s="70">
        <f t="shared" si="24"/>
        <v>2.2781249999999997</v>
      </c>
    </row>
    <row r="50" spans="1:17" x14ac:dyDescent="0.2">
      <c r="A50" s="70">
        <f t="shared" si="17"/>
        <v>60</v>
      </c>
      <c r="B50" s="73">
        <f t="shared" si="18"/>
        <v>23.076923076923077</v>
      </c>
      <c r="C50" s="71">
        <f t="shared" si="19"/>
        <v>0</v>
      </c>
      <c r="D50" s="227">
        <f>B2</f>
        <v>243.9</v>
      </c>
      <c r="E50" s="69">
        <f t="shared" si="7"/>
        <v>6.6056250000000007</v>
      </c>
      <c r="F50" s="71">
        <f t="shared" si="20"/>
        <v>0.16200000000000001</v>
      </c>
      <c r="G50" s="69">
        <f t="shared" si="9"/>
        <v>0.16200000000000001</v>
      </c>
      <c r="H50" s="71">
        <f t="shared" si="21"/>
        <v>0.16200000000000001</v>
      </c>
      <c r="I50" s="72">
        <f t="shared" si="25"/>
        <v>2.884615384615383E-3</v>
      </c>
      <c r="J50" s="79">
        <f t="shared" si="15"/>
        <v>0.11538461538461542</v>
      </c>
      <c r="K50" s="220">
        <f t="shared" si="11"/>
        <v>115.38461538461542</v>
      </c>
      <c r="L50" s="167">
        <f t="shared" si="12"/>
        <v>1</v>
      </c>
      <c r="M50" s="70">
        <f t="shared" si="22"/>
        <v>4.0775462962962967</v>
      </c>
      <c r="N50" s="70">
        <f t="shared" si="16"/>
        <v>1.7254437869822475E-2</v>
      </c>
      <c r="O50" s="70">
        <f t="shared" si="14"/>
        <v>5.9815384615384612</v>
      </c>
      <c r="P50" s="70">
        <f t="shared" si="23"/>
        <v>11.963076923076922</v>
      </c>
      <c r="Q50" s="70">
        <f t="shared" si="24"/>
        <v>2.2430769230769227</v>
      </c>
    </row>
    <row r="51" spans="1:17" x14ac:dyDescent="0.2">
      <c r="A51" s="70">
        <f t="shared" si="17"/>
        <v>60</v>
      </c>
      <c r="B51" s="73">
        <f t="shared" si="18"/>
        <v>23.653846153846153</v>
      </c>
      <c r="C51" s="71">
        <f t="shared" si="19"/>
        <v>0</v>
      </c>
      <c r="D51" s="227">
        <f>B2</f>
        <v>243.9</v>
      </c>
      <c r="E51" s="69">
        <f t="shared" si="7"/>
        <v>6.7104761904761903</v>
      </c>
      <c r="F51" s="71">
        <f t="shared" si="20"/>
        <v>0.16200000000000001</v>
      </c>
      <c r="G51" s="69">
        <f t="shared" si="9"/>
        <v>0.16200000000000001</v>
      </c>
      <c r="H51" s="71">
        <f t="shared" si="21"/>
        <v>0.16200000000000001</v>
      </c>
      <c r="I51" s="72">
        <f t="shared" si="25"/>
        <v>2.884615384615383E-3</v>
      </c>
      <c r="J51" s="79">
        <f t="shared" si="15"/>
        <v>0.11826923076923081</v>
      </c>
      <c r="K51" s="220">
        <f t="shared" si="11"/>
        <v>118.2692307692308</v>
      </c>
      <c r="L51" s="167">
        <f t="shared" si="12"/>
        <v>1</v>
      </c>
      <c r="M51" s="70">
        <f t="shared" si="22"/>
        <v>4.1422692533803644</v>
      </c>
      <c r="N51" s="70">
        <f t="shared" si="16"/>
        <v>1.6984837278106499E-2</v>
      </c>
      <c r="O51" s="70">
        <f t="shared" si="14"/>
        <v>5.8880769230769232</v>
      </c>
      <c r="P51" s="70">
        <f t="shared" si="23"/>
        <v>11.776153846153846</v>
      </c>
      <c r="Q51" s="70">
        <f t="shared" si="24"/>
        <v>2.2080288461538462</v>
      </c>
    </row>
    <row r="52" spans="1:17" x14ac:dyDescent="0.2">
      <c r="A52" s="70">
        <f t="shared" si="17"/>
        <v>60</v>
      </c>
      <c r="B52" s="73">
        <f t="shared" si="18"/>
        <v>24.23076923076923</v>
      </c>
      <c r="C52" s="71">
        <f t="shared" si="19"/>
        <v>0</v>
      </c>
      <c r="D52" s="227">
        <f>B2</f>
        <v>243.9</v>
      </c>
      <c r="E52" s="69">
        <f t="shared" si="7"/>
        <v>6.8187096774193545</v>
      </c>
      <c r="F52" s="71">
        <f t="shared" si="20"/>
        <v>0.16200000000000001</v>
      </c>
      <c r="G52" s="69">
        <f t="shared" si="9"/>
        <v>0.16200000000000001</v>
      </c>
      <c r="H52" s="71">
        <f t="shared" si="21"/>
        <v>0.16200000000000001</v>
      </c>
      <c r="I52" s="72">
        <f t="shared" si="25"/>
        <v>2.884615384615383E-3</v>
      </c>
      <c r="J52" s="79">
        <f t="shared" si="15"/>
        <v>0.1211538461538462</v>
      </c>
      <c r="K52" s="220">
        <f t="shared" si="11"/>
        <v>121.15384615384619</v>
      </c>
      <c r="L52" s="167">
        <f t="shared" si="12"/>
        <v>1</v>
      </c>
      <c r="M52" s="70">
        <f t="shared" si="22"/>
        <v>4.2090800477897252</v>
      </c>
      <c r="N52" s="70">
        <f t="shared" si="16"/>
        <v>1.6715236686390526E-2</v>
      </c>
      <c r="O52" s="70">
        <f t="shared" si="14"/>
        <v>5.7946153846153852</v>
      </c>
      <c r="P52" s="70">
        <f t="shared" si="23"/>
        <v>11.58923076923077</v>
      </c>
      <c r="Q52" s="70">
        <f t="shared" si="24"/>
        <v>2.1729807692307697</v>
      </c>
    </row>
    <row r="53" spans="1:17" x14ac:dyDescent="0.2">
      <c r="A53" s="70">
        <f t="shared" si="17"/>
        <v>60</v>
      </c>
      <c r="B53" s="73">
        <f t="shared" si="18"/>
        <v>24.807692307692307</v>
      </c>
      <c r="C53" s="71">
        <f t="shared" si="19"/>
        <v>0</v>
      </c>
      <c r="D53" s="227">
        <f>B2</f>
        <v>243.9</v>
      </c>
      <c r="E53" s="69">
        <f t="shared" si="7"/>
        <v>6.9304918032786889</v>
      </c>
      <c r="F53" s="71">
        <f t="shared" si="20"/>
        <v>0.16200000000000001</v>
      </c>
      <c r="G53" s="69">
        <f t="shared" si="9"/>
        <v>0.16200000000000001</v>
      </c>
      <c r="H53" s="71">
        <f t="shared" si="21"/>
        <v>0.16200000000000001</v>
      </c>
      <c r="I53" s="72">
        <f t="shared" si="25"/>
        <v>2.884615384615383E-3</v>
      </c>
      <c r="J53" s="79">
        <f t="shared" si="15"/>
        <v>0.12403846153846158</v>
      </c>
      <c r="K53" s="220">
        <f t="shared" si="11"/>
        <v>124.03846153846159</v>
      </c>
      <c r="L53" s="167">
        <f t="shared" si="12"/>
        <v>1</v>
      </c>
      <c r="M53" s="70">
        <f t="shared" si="22"/>
        <v>4.2780813600485725</v>
      </c>
      <c r="N53" s="70">
        <f t="shared" si="16"/>
        <v>1.6445636094674549E-2</v>
      </c>
      <c r="O53" s="70">
        <f t="shared" si="14"/>
        <v>5.7011538461538462</v>
      </c>
      <c r="P53" s="70">
        <f t="shared" si="23"/>
        <v>11.402307692307692</v>
      </c>
      <c r="Q53" s="70">
        <f t="shared" si="24"/>
        <v>2.1379326923076922</v>
      </c>
    </row>
    <row r="54" spans="1:17" x14ac:dyDescent="0.2">
      <c r="A54" s="70">
        <f t="shared" si="17"/>
        <v>60</v>
      </c>
      <c r="B54" s="73">
        <f t="shared" si="18"/>
        <v>25.384615384615383</v>
      </c>
      <c r="C54" s="71">
        <f t="shared" si="19"/>
        <v>0</v>
      </c>
      <c r="D54" s="227">
        <f>B2</f>
        <v>243.9</v>
      </c>
      <c r="E54" s="69">
        <f t="shared" si="7"/>
        <v>7.0460000000000003</v>
      </c>
      <c r="F54" s="71">
        <f t="shared" si="20"/>
        <v>0.16200000000000001</v>
      </c>
      <c r="G54" s="69">
        <f t="shared" si="9"/>
        <v>0.16200000000000001</v>
      </c>
      <c r="H54" s="71">
        <f t="shared" si="21"/>
        <v>0.16200000000000001</v>
      </c>
      <c r="I54" s="72">
        <f t="shared" si="25"/>
        <v>2.884615384615383E-3</v>
      </c>
      <c r="J54" s="79">
        <f t="shared" si="15"/>
        <v>0.12692307692307697</v>
      </c>
      <c r="K54" s="220">
        <f t="shared" si="11"/>
        <v>126.92307692307698</v>
      </c>
      <c r="L54" s="167">
        <f t="shared" si="12"/>
        <v>1</v>
      </c>
      <c r="M54" s="70">
        <f t="shared" si="22"/>
        <v>4.3493827160493828</v>
      </c>
      <c r="N54" s="70">
        <f t="shared" si="16"/>
        <v>1.6176035502958569E-2</v>
      </c>
      <c r="O54" s="70">
        <f t="shared" si="14"/>
        <v>5.6076923076923073</v>
      </c>
      <c r="P54" s="70">
        <f t="shared" si="23"/>
        <v>11.215384615384615</v>
      </c>
      <c r="Q54" s="70">
        <f t="shared" si="24"/>
        <v>2.1028846153846152</v>
      </c>
    </row>
    <row r="55" spans="1:17" x14ac:dyDescent="0.2">
      <c r="A55" s="70">
        <f t="shared" si="17"/>
        <v>60</v>
      </c>
      <c r="B55" s="73">
        <f t="shared" si="18"/>
        <v>25.961538461538463</v>
      </c>
      <c r="C55" s="71">
        <f t="shared" si="19"/>
        <v>0</v>
      </c>
      <c r="D55" s="227">
        <f>B2</f>
        <v>243.9</v>
      </c>
      <c r="E55" s="69">
        <f t="shared" si="7"/>
        <v>7.1654237288135603</v>
      </c>
      <c r="F55" s="71">
        <f t="shared" si="20"/>
        <v>0.16200000000000001</v>
      </c>
      <c r="G55" s="69">
        <f t="shared" si="9"/>
        <v>0.16200000000000001</v>
      </c>
      <c r="H55" s="71">
        <f t="shared" si="21"/>
        <v>0.16200000000000001</v>
      </c>
      <c r="I55" s="72">
        <f t="shared" si="25"/>
        <v>2.8846153846154008E-3</v>
      </c>
      <c r="J55" s="79">
        <f t="shared" si="15"/>
        <v>0.12980769230769237</v>
      </c>
      <c r="K55" s="220">
        <f t="shared" si="11"/>
        <v>129.80769230769238</v>
      </c>
      <c r="L55" s="167">
        <f t="shared" si="12"/>
        <v>1</v>
      </c>
      <c r="M55" s="70">
        <f t="shared" si="22"/>
        <v>4.4231010671688651</v>
      </c>
      <c r="N55" s="70">
        <f t="shared" si="16"/>
        <v>1.5906434911242689E-2</v>
      </c>
      <c r="O55" s="70">
        <f t="shared" si="14"/>
        <v>5.5142307692307684</v>
      </c>
      <c r="P55" s="70">
        <f t="shared" si="23"/>
        <v>11.028461538461537</v>
      </c>
      <c r="Q55" s="70">
        <f t="shared" si="24"/>
        <v>2.0678365384615383</v>
      </c>
    </row>
    <row r="56" spans="1:17" x14ac:dyDescent="0.2">
      <c r="A56" s="70">
        <f t="shared" si="17"/>
        <v>60</v>
      </c>
      <c r="B56" s="73">
        <f t="shared" si="18"/>
        <v>26.538461538461537</v>
      </c>
      <c r="C56" s="71">
        <f t="shared" si="19"/>
        <v>0</v>
      </c>
      <c r="D56" s="227">
        <f>B2</f>
        <v>243.9</v>
      </c>
      <c r="E56" s="69">
        <f t="shared" si="7"/>
        <v>7.2889655172413779</v>
      </c>
      <c r="F56" s="71">
        <f t="shared" si="20"/>
        <v>0.16200000000000001</v>
      </c>
      <c r="G56" s="69">
        <f t="shared" si="9"/>
        <v>0.16200000000000001</v>
      </c>
      <c r="H56" s="71">
        <f t="shared" si="21"/>
        <v>0.16200000000000001</v>
      </c>
      <c r="I56" s="72">
        <f t="shared" si="25"/>
        <v>2.8846153846153653E-3</v>
      </c>
      <c r="J56" s="79">
        <f t="shared" si="15"/>
        <v>0.13269230769230775</v>
      </c>
      <c r="K56" s="220">
        <f t="shared" si="11"/>
        <v>132.69230769230774</v>
      </c>
      <c r="L56" s="167">
        <f t="shared" si="12"/>
        <v>1</v>
      </c>
      <c r="M56" s="70">
        <f t="shared" si="22"/>
        <v>4.4993614303959122</v>
      </c>
      <c r="N56" s="70">
        <f t="shared" si="16"/>
        <v>1.5636834319526526E-2</v>
      </c>
      <c r="O56" s="70">
        <f t="shared" si="14"/>
        <v>5.4207692307692321</v>
      </c>
      <c r="P56" s="70">
        <f t="shared" si="23"/>
        <v>10.841538461538464</v>
      </c>
      <c r="Q56" s="70">
        <f t="shared" si="24"/>
        <v>2.0327884615384617</v>
      </c>
    </row>
    <row r="57" spans="1:17" x14ac:dyDescent="0.2">
      <c r="A57" s="70">
        <f t="shared" si="17"/>
        <v>60</v>
      </c>
      <c r="B57" s="73">
        <f t="shared" si="18"/>
        <v>27.115384615384617</v>
      </c>
      <c r="C57" s="71">
        <f t="shared" si="19"/>
        <v>0</v>
      </c>
      <c r="D57" s="227">
        <f>B2</f>
        <v>243.9</v>
      </c>
      <c r="E57" s="69">
        <f t="shared" si="7"/>
        <v>7.4168421052631572</v>
      </c>
      <c r="F57" s="71">
        <f t="shared" si="20"/>
        <v>0.16200000000000001</v>
      </c>
      <c r="G57" s="69">
        <f t="shared" si="9"/>
        <v>0.16200000000000001</v>
      </c>
      <c r="H57" s="71">
        <f t="shared" si="21"/>
        <v>0.16200000000000001</v>
      </c>
      <c r="I57" s="72">
        <f t="shared" si="25"/>
        <v>2.8846153846154008E-3</v>
      </c>
      <c r="J57" s="79">
        <f t="shared" si="15"/>
        <v>0.13557692307692315</v>
      </c>
      <c r="K57" s="220">
        <f t="shared" si="11"/>
        <v>135.57692307692315</v>
      </c>
      <c r="L57" s="167">
        <f t="shared" si="12"/>
        <v>1</v>
      </c>
      <c r="M57" s="70">
        <f t="shared" si="22"/>
        <v>4.5782975958414545</v>
      </c>
      <c r="N57" s="70">
        <f t="shared" si="16"/>
        <v>1.5367233727810738E-2</v>
      </c>
      <c r="O57" s="70">
        <f t="shared" si="14"/>
        <v>5.3273076923076932</v>
      </c>
      <c r="P57" s="70">
        <f t="shared" si="23"/>
        <v>10.654615384615386</v>
      </c>
      <c r="Q57" s="70">
        <f t="shared" si="24"/>
        <v>1.9977403846153847</v>
      </c>
    </row>
    <row r="58" spans="1:17" x14ac:dyDescent="0.2">
      <c r="A58" s="70">
        <f t="shared" si="17"/>
        <v>60</v>
      </c>
      <c r="B58" s="73">
        <f t="shared" si="18"/>
        <v>27.692307692307693</v>
      </c>
      <c r="C58" s="71">
        <f t="shared" si="19"/>
        <v>0</v>
      </c>
      <c r="D58" s="227">
        <f>B2</f>
        <v>243.9</v>
      </c>
      <c r="E58" s="69">
        <f t="shared" si="7"/>
        <v>7.5492857142857144</v>
      </c>
      <c r="F58" s="71">
        <f t="shared" si="20"/>
        <v>0.16200000000000001</v>
      </c>
      <c r="G58" s="69">
        <f t="shared" si="9"/>
        <v>0.16200000000000001</v>
      </c>
      <c r="H58" s="71">
        <f t="shared" si="21"/>
        <v>0.16200000000000001</v>
      </c>
      <c r="I58" s="72">
        <f t="shared" si="25"/>
        <v>2.884615384615383E-3</v>
      </c>
      <c r="J58" s="79">
        <f t="shared" si="15"/>
        <v>0.13846153846153852</v>
      </c>
      <c r="K58" s="220">
        <f t="shared" si="11"/>
        <v>138.46153846153854</v>
      </c>
      <c r="L58" s="167">
        <f t="shared" si="12"/>
        <v>1</v>
      </c>
      <c r="M58" s="70">
        <f t="shared" si="22"/>
        <v>4.6600529100529107</v>
      </c>
      <c r="N58" s="70">
        <f t="shared" si="16"/>
        <v>1.5097633136094666E-2</v>
      </c>
      <c r="O58" s="70">
        <f t="shared" si="14"/>
        <v>5.2338461538461543</v>
      </c>
      <c r="P58" s="70">
        <f t="shared" si="23"/>
        <v>10.467692307692309</v>
      </c>
      <c r="Q58" s="70">
        <f t="shared" si="24"/>
        <v>1.9626923076923075</v>
      </c>
    </row>
    <row r="59" spans="1:17" x14ac:dyDescent="0.2">
      <c r="A59" s="70">
        <f t="shared" si="17"/>
        <v>60</v>
      </c>
      <c r="B59" s="73">
        <f t="shared" si="18"/>
        <v>28.26923076923077</v>
      </c>
      <c r="C59" s="71">
        <f t="shared" si="19"/>
        <v>0</v>
      </c>
      <c r="D59" s="227">
        <f>B2</f>
        <v>243.9</v>
      </c>
      <c r="E59" s="69">
        <f t="shared" si="7"/>
        <v>7.6865454545454552</v>
      </c>
      <c r="F59" s="71">
        <f t="shared" si="20"/>
        <v>0.16200000000000001</v>
      </c>
      <c r="G59" s="69">
        <f t="shared" si="9"/>
        <v>0.16200000000000001</v>
      </c>
      <c r="H59" s="71">
        <f t="shared" si="21"/>
        <v>0.16200000000000001</v>
      </c>
      <c r="I59" s="72">
        <f t="shared" si="25"/>
        <v>2.884615384615383E-3</v>
      </c>
      <c r="J59" s="79">
        <f t="shared" si="15"/>
        <v>0.1413461538461539</v>
      </c>
      <c r="K59" s="220">
        <f t="shared" si="11"/>
        <v>141.3461538461539</v>
      </c>
      <c r="L59" s="167">
        <f t="shared" si="12"/>
        <v>1</v>
      </c>
      <c r="M59" s="70">
        <f t="shared" si="22"/>
        <v>4.744781144781145</v>
      </c>
      <c r="N59" s="70">
        <f t="shared" si="16"/>
        <v>1.4828032544378689E-2</v>
      </c>
      <c r="O59" s="70">
        <f t="shared" si="14"/>
        <v>5.1403846153846153</v>
      </c>
      <c r="P59" s="70">
        <f t="shared" si="23"/>
        <v>10.280769230769231</v>
      </c>
      <c r="Q59" s="70">
        <f t="shared" si="24"/>
        <v>1.9276442307692307</v>
      </c>
    </row>
    <row r="60" spans="1:17" x14ac:dyDescent="0.2">
      <c r="A60" s="70">
        <f t="shared" si="17"/>
        <v>60</v>
      </c>
      <c r="B60" s="73">
        <f t="shared" si="18"/>
        <v>28.846153846153847</v>
      </c>
      <c r="C60" s="71">
        <f t="shared" si="19"/>
        <v>0</v>
      </c>
      <c r="D60" s="227">
        <f>B2</f>
        <v>243.9</v>
      </c>
      <c r="E60" s="69">
        <f t="shared" si="7"/>
        <v>7.8288888888888888</v>
      </c>
      <c r="F60" s="71">
        <f t="shared" si="20"/>
        <v>0.16200000000000001</v>
      </c>
      <c r="G60" s="69">
        <f t="shared" si="9"/>
        <v>0.16200000000000001</v>
      </c>
      <c r="H60" s="71">
        <f t="shared" si="21"/>
        <v>0.16200000000000001</v>
      </c>
      <c r="I60" s="72">
        <f t="shared" si="25"/>
        <v>2.884615384615383E-3</v>
      </c>
      <c r="J60" s="79">
        <f t="shared" si="15"/>
        <v>0.14423076923076927</v>
      </c>
      <c r="K60" s="220">
        <f t="shared" si="11"/>
        <v>144.23076923076928</v>
      </c>
      <c r="L60" s="167">
        <f t="shared" si="12"/>
        <v>1</v>
      </c>
      <c r="M60" s="70">
        <f t="shared" si="22"/>
        <v>4.8326474622770919</v>
      </c>
      <c r="N60" s="70">
        <f t="shared" si="16"/>
        <v>1.4558431952662714E-2</v>
      </c>
      <c r="O60" s="70">
        <f t="shared" si="14"/>
        <v>5.0469230769230773</v>
      </c>
      <c r="P60" s="70">
        <f t="shared" si="23"/>
        <v>10.093846153846155</v>
      </c>
      <c r="Q60" s="70">
        <f t="shared" si="24"/>
        <v>1.8925961538461538</v>
      </c>
    </row>
    <row r="61" spans="1:17" x14ac:dyDescent="0.2">
      <c r="A61" s="70">
        <f t="shared" si="17"/>
        <v>60</v>
      </c>
      <c r="B61" s="73">
        <f t="shared" si="18"/>
        <v>29.423076923076923</v>
      </c>
      <c r="C61" s="71">
        <f t="shared" si="19"/>
        <v>0</v>
      </c>
      <c r="D61" s="227">
        <f>B2</f>
        <v>243.9</v>
      </c>
      <c r="E61" s="69">
        <f t="shared" si="7"/>
        <v>7.9766037735849062</v>
      </c>
      <c r="F61" s="71">
        <f t="shared" si="20"/>
        <v>0.16200000000000001</v>
      </c>
      <c r="G61" s="69">
        <f t="shared" si="9"/>
        <v>0.16200000000000001</v>
      </c>
      <c r="H61" s="71">
        <f t="shared" si="21"/>
        <v>0.16200000000000001</v>
      </c>
      <c r="I61" s="72">
        <f t="shared" si="25"/>
        <v>2.884615384615383E-3</v>
      </c>
      <c r="J61" s="79">
        <f t="shared" si="15"/>
        <v>0.14711538461538465</v>
      </c>
      <c r="K61" s="220">
        <f t="shared" si="11"/>
        <v>147.11538461538464</v>
      </c>
      <c r="L61" s="167">
        <f t="shared" si="12"/>
        <v>1</v>
      </c>
      <c r="M61" s="70">
        <f t="shared" si="22"/>
        <v>4.9238294898672263</v>
      </c>
      <c r="N61" s="70">
        <f>I61*G61*(A61-B61)</f>
        <v>1.4288831360946738E-2</v>
      </c>
      <c r="O61" s="70">
        <f t="shared" si="14"/>
        <v>4.9534615384615384</v>
      </c>
      <c r="P61" s="70">
        <f t="shared" si="23"/>
        <v>9.9069230769230767</v>
      </c>
      <c r="Q61" s="70">
        <f t="shared" si="24"/>
        <v>1.8575480769230768</v>
      </c>
    </row>
    <row r="62" spans="1:17" x14ac:dyDescent="0.2">
      <c r="A62" s="70">
        <f t="shared" si="17"/>
        <v>60</v>
      </c>
      <c r="B62" s="73">
        <f t="shared" si="18"/>
        <v>30</v>
      </c>
      <c r="C62" s="71">
        <f t="shared" si="19"/>
        <v>0</v>
      </c>
      <c r="D62" s="227">
        <f>B2</f>
        <v>243.9</v>
      </c>
      <c r="E62" s="69">
        <f t="shared" si="7"/>
        <v>8.1300000000000008</v>
      </c>
      <c r="F62" s="71">
        <f t="shared" si="20"/>
        <v>0.16200000000000001</v>
      </c>
      <c r="G62" s="69">
        <f t="shared" si="9"/>
        <v>0.16200000000000001</v>
      </c>
      <c r="H62" s="71">
        <f t="shared" si="21"/>
        <v>0.16200000000000001</v>
      </c>
      <c r="I62" s="72">
        <f t="shared" si="25"/>
        <v>2.884615384615383E-3</v>
      </c>
      <c r="J62" s="79">
        <f t="shared" si="15"/>
        <v>0.15000000000000002</v>
      </c>
      <c r="K62" s="220">
        <f t="shared" si="11"/>
        <v>150.00000000000003</v>
      </c>
      <c r="L62" s="167">
        <f t="shared" si="12"/>
        <v>1</v>
      </c>
      <c r="M62" s="70">
        <f t="shared" si="22"/>
        <v>5.0185185185185182</v>
      </c>
      <c r="N62" s="70">
        <f t="shared" si="16"/>
        <v>1.4019230769230761E-2</v>
      </c>
      <c r="O62" s="70">
        <f t="shared" si="14"/>
        <v>4.8600000000000003</v>
      </c>
      <c r="P62" s="70">
        <f t="shared" si="23"/>
        <v>9.7200000000000006</v>
      </c>
      <c r="Q62" s="70">
        <f t="shared" si="24"/>
        <v>1.8225</v>
      </c>
    </row>
    <row r="63" spans="1:17" x14ac:dyDescent="0.2">
      <c r="A63" s="70">
        <f t="shared" si="17"/>
        <v>60</v>
      </c>
      <c r="B63" s="73">
        <f t="shared" si="18"/>
        <v>30.576923076923073</v>
      </c>
      <c r="C63" s="71">
        <f t="shared" si="19"/>
        <v>0</v>
      </c>
      <c r="D63" s="227">
        <f>B2</f>
        <v>243.9</v>
      </c>
      <c r="E63" s="69">
        <f t="shared" si="7"/>
        <v>8.289411764705882</v>
      </c>
      <c r="F63" s="71">
        <f t="shared" si="20"/>
        <v>0.16200000000000001</v>
      </c>
      <c r="G63" s="69">
        <f t="shared" si="9"/>
        <v>0.16200000000000001</v>
      </c>
      <c r="H63" s="71">
        <f t="shared" si="21"/>
        <v>0.16200000000000001</v>
      </c>
      <c r="I63" s="72">
        <f t="shared" si="25"/>
        <v>2.8846153846153653E-3</v>
      </c>
      <c r="J63" s="79">
        <f t="shared" si="15"/>
        <v>0.1528846153846154</v>
      </c>
      <c r="K63" s="220">
        <f t="shared" si="11"/>
        <v>152.88461538461539</v>
      </c>
      <c r="L63" s="167">
        <f t="shared" si="12"/>
        <v>1</v>
      </c>
      <c r="M63" s="70">
        <f t="shared" si="22"/>
        <v>5.1169208424110382</v>
      </c>
      <c r="N63" s="70">
        <f t="shared" si="16"/>
        <v>1.3749630177514703E-2</v>
      </c>
      <c r="O63" s="70">
        <f t="shared" si="14"/>
        <v>4.7665384615384623</v>
      </c>
      <c r="P63" s="70">
        <f t="shared" si="23"/>
        <v>9.5330769230769246</v>
      </c>
      <c r="Q63" s="70">
        <f t="shared" si="24"/>
        <v>1.7874519230769232</v>
      </c>
    </row>
    <row r="64" spans="1:17" x14ac:dyDescent="0.2">
      <c r="A64" s="70">
        <f t="shared" si="17"/>
        <v>60</v>
      </c>
      <c r="B64" s="73">
        <f t="shared" si="18"/>
        <v>31.153846153846157</v>
      </c>
      <c r="C64" s="71">
        <f t="shared" si="19"/>
        <v>0</v>
      </c>
      <c r="D64" s="227">
        <f>B2</f>
        <v>243.9</v>
      </c>
      <c r="E64" s="69">
        <f t="shared" si="7"/>
        <v>8.4552000000000014</v>
      </c>
      <c r="F64" s="71">
        <f t="shared" si="20"/>
        <v>0.16200000000000001</v>
      </c>
      <c r="G64" s="69">
        <f t="shared" si="9"/>
        <v>0.16200000000000001</v>
      </c>
      <c r="H64" s="71">
        <f t="shared" si="21"/>
        <v>0.16200000000000001</v>
      </c>
      <c r="I64" s="72">
        <f t="shared" si="25"/>
        <v>2.8846153846154186E-3</v>
      </c>
      <c r="J64" s="79">
        <f t="shared" si="15"/>
        <v>0.15576923076923083</v>
      </c>
      <c r="K64" s="220">
        <f t="shared" si="11"/>
        <v>155.76923076923083</v>
      </c>
      <c r="L64" s="167">
        <f t="shared" si="12"/>
        <v>1</v>
      </c>
      <c r="M64" s="70">
        <f t="shared" si="22"/>
        <v>5.2192592592592604</v>
      </c>
      <c r="N64" s="70">
        <f t="shared" si="16"/>
        <v>1.3480029585798975E-2</v>
      </c>
      <c r="O64" s="70">
        <f t="shared" si="14"/>
        <v>4.6730769230769225</v>
      </c>
      <c r="P64" s="70">
        <f t="shared" si="23"/>
        <v>9.3461538461538449</v>
      </c>
      <c r="Q64" s="70">
        <f t="shared" si="24"/>
        <v>1.752403846153846</v>
      </c>
    </row>
    <row r="65" spans="1:17" x14ac:dyDescent="0.2">
      <c r="A65" s="70">
        <f t="shared" si="17"/>
        <v>60</v>
      </c>
      <c r="B65" s="73">
        <f t="shared" si="18"/>
        <v>31.73076923076923</v>
      </c>
      <c r="C65" s="71">
        <f t="shared" si="19"/>
        <v>0</v>
      </c>
      <c r="D65" s="227">
        <f>B2</f>
        <v>243.9</v>
      </c>
      <c r="E65" s="69">
        <f t="shared" si="7"/>
        <v>8.6277551020408154</v>
      </c>
      <c r="F65" s="71">
        <f t="shared" si="20"/>
        <v>0.16200000000000001</v>
      </c>
      <c r="G65" s="69">
        <f t="shared" si="9"/>
        <v>0.16200000000000001</v>
      </c>
      <c r="H65" s="71">
        <f t="shared" si="21"/>
        <v>0.16200000000000001</v>
      </c>
      <c r="I65" s="72">
        <f t="shared" si="25"/>
        <v>2.8846153846153653E-3</v>
      </c>
      <c r="J65" s="79">
        <f t="shared" si="15"/>
        <v>0.1586538461538462</v>
      </c>
      <c r="K65" s="220">
        <f t="shared" si="11"/>
        <v>158.65384615384619</v>
      </c>
      <c r="L65" s="167">
        <f t="shared" si="12"/>
        <v>1</v>
      </c>
      <c r="M65" s="70">
        <f t="shared" si="22"/>
        <v>5.325774754346182</v>
      </c>
      <c r="N65" s="70">
        <f t="shared" si="16"/>
        <v>1.3210428994082752E-2</v>
      </c>
      <c r="O65" s="70">
        <f t="shared" si="14"/>
        <v>4.5796153846153853</v>
      </c>
      <c r="P65" s="70">
        <f t="shared" si="23"/>
        <v>9.1592307692307706</v>
      </c>
      <c r="Q65" s="70">
        <f t="shared" si="24"/>
        <v>1.7173557692307693</v>
      </c>
    </row>
    <row r="66" spans="1:17" x14ac:dyDescent="0.2">
      <c r="A66" s="70">
        <f t="shared" si="17"/>
        <v>60</v>
      </c>
      <c r="B66" s="73">
        <f t="shared" si="18"/>
        <v>32.307692307692307</v>
      </c>
      <c r="C66" s="71">
        <f t="shared" si="19"/>
        <v>0</v>
      </c>
      <c r="D66" s="227">
        <f>B2</f>
        <v>243.9</v>
      </c>
      <c r="E66" s="69">
        <f t="shared" si="7"/>
        <v>8.8074999999999992</v>
      </c>
      <c r="F66" s="71">
        <f t="shared" si="20"/>
        <v>0.16200000000000001</v>
      </c>
      <c r="G66" s="69">
        <f t="shared" si="9"/>
        <v>0.16200000000000001</v>
      </c>
      <c r="H66" s="71">
        <f t="shared" si="21"/>
        <v>0.16200000000000001</v>
      </c>
      <c r="I66" s="72">
        <f t="shared" si="25"/>
        <v>2.884615384615383E-3</v>
      </c>
      <c r="J66" s="79">
        <f t="shared" si="15"/>
        <v>0.16153846153846158</v>
      </c>
      <c r="K66" s="220">
        <f t="shared" si="11"/>
        <v>161.53846153846158</v>
      </c>
      <c r="L66" s="167">
        <f t="shared" si="12"/>
        <v>1</v>
      </c>
      <c r="M66" s="70">
        <f t="shared" si="22"/>
        <v>5.4367283950617278</v>
      </c>
      <c r="N66" s="70">
        <f t="shared" si="16"/>
        <v>1.2940828402366857E-2</v>
      </c>
      <c r="O66" s="70">
        <f t="shared" si="14"/>
        <v>4.4861538461538464</v>
      </c>
      <c r="P66" s="70">
        <f t="shared" si="23"/>
        <v>8.9723076923076928</v>
      </c>
      <c r="Q66" s="70">
        <f t="shared" si="24"/>
        <v>1.6823076923076923</v>
      </c>
    </row>
    <row r="67" spans="1:17" x14ac:dyDescent="0.2">
      <c r="A67" s="70">
        <f t="shared" si="17"/>
        <v>60</v>
      </c>
      <c r="B67" s="73">
        <f t="shared" si="18"/>
        <v>32.884615384615387</v>
      </c>
      <c r="C67" s="71">
        <f t="shared" si="19"/>
        <v>0</v>
      </c>
      <c r="D67" s="227">
        <f>B2</f>
        <v>243.9</v>
      </c>
      <c r="E67" s="69">
        <f t="shared" si="7"/>
        <v>8.9948936170212779</v>
      </c>
      <c r="F67" s="71">
        <f t="shared" si="20"/>
        <v>0.16200000000000001</v>
      </c>
      <c r="G67" s="69">
        <f t="shared" si="9"/>
        <v>0.16200000000000001</v>
      </c>
      <c r="H67" s="71">
        <f t="shared" si="21"/>
        <v>0.16200000000000001</v>
      </c>
      <c r="I67" s="72">
        <f t="shared" si="25"/>
        <v>2.8846153846154008E-3</v>
      </c>
      <c r="J67" s="79">
        <f t="shared" si="15"/>
        <v>0.16442307692307698</v>
      </c>
      <c r="K67" s="220">
        <f t="shared" si="11"/>
        <v>164.42307692307699</v>
      </c>
      <c r="L67" s="167">
        <f t="shared" si="12"/>
        <v>1</v>
      </c>
      <c r="M67" s="70">
        <f t="shared" si="22"/>
        <v>5.5524034672970846</v>
      </c>
      <c r="N67" s="70">
        <f t="shared" si="16"/>
        <v>1.2671227810650958E-2</v>
      </c>
      <c r="O67" s="70">
        <f t="shared" si="14"/>
        <v>4.3926923076923075</v>
      </c>
      <c r="P67" s="70">
        <f t="shared" si="23"/>
        <v>8.7853846153846149</v>
      </c>
      <c r="Q67" s="70">
        <f t="shared" si="24"/>
        <v>1.6472596153846153</v>
      </c>
    </row>
    <row r="68" spans="1:17" x14ac:dyDescent="0.2">
      <c r="A68" s="70">
        <f t="shared" si="17"/>
        <v>60</v>
      </c>
      <c r="B68" s="73">
        <f t="shared" si="18"/>
        <v>33.46153846153846</v>
      </c>
      <c r="C68" s="71">
        <f t="shared" si="19"/>
        <v>0</v>
      </c>
      <c r="D68" s="227">
        <f>B2</f>
        <v>243.9</v>
      </c>
      <c r="E68" s="69">
        <f t="shared" si="7"/>
        <v>9.1904347826086958</v>
      </c>
      <c r="F68" s="71">
        <f t="shared" si="20"/>
        <v>0.16200000000000001</v>
      </c>
      <c r="G68" s="69">
        <f t="shared" si="9"/>
        <v>0.16200000000000001</v>
      </c>
      <c r="H68" s="71">
        <f t="shared" si="21"/>
        <v>0.16200000000000001</v>
      </c>
      <c r="I68" s="72">
        <f t="shared" si="25"/>
        <v>2.8846153846153653E-3</v>
      </c>
      <c r="J68" s="79">
        <f t="shared" si="15"/>
        <v>0.16730769230769235</v>
      </c>
      <c r="K68" s="220">
        <f t="shared" si="11"/>
        <v>167.30769230769235</v>
      </c>
      <c r="L68" s="167">
        <f t="shared" si="12"/>
        <v>1</v>
      </c>
      <c r="M68" s="70">
        <f t="shared" si="22"/>
        <v>5.6731078904991943</v>
      </c>
      <c r="N68" s="70">
        <f t="shared" si="16"/>
        <v>1.2401627218934829E-2</v>
      </c>
      <c r="O68" s="70">
        <f t="shared" si="14"/>
        <v>4.2992307692307694</v>
      </c>
      <c r="P68" s="70">
        <f t="shared" si="23"/>
        <v>8.5984615384615388</v>
      </c>
      <c r="Q68" s="70">
        <f t="shared" si="24"/>
        <v>1.6122115384615385</v>
      </c>
    </row>
    <row r="69" spans="1:17" x14ac:dyDescent="0.2">
      <c r="A69" s="70">
        <f t="shared" si="17"/>
        <v>60</v>
      </c>
      <c r="B69" s="73">
        <f t="shared" si="18"/>
        <v>34.03846153846154</v>
      </c>
      <c r="C69" s="71">
        <f t="shared" si="19"/>
        <v>0</v>
      </c>
      <c r="D69" s="227">
        <f>B2</f>
        <v>243.9</v>
      </c>
      <c r="E69" s="69">
        <f t="shared" si="7"/>
        <v>9.3946666666666676</v>
      </c>
      <c r="F69" s="71">
        <f t="shared" si="20"/>
        <v>0.16200000000000001</v>
      </c>
      <c r="G69" s="69">
        <f t="shared" si="9"/>
        <v>0.16200000000000001</v>
      </c>
      <c r="H69" s="71">
        <f t="shared" si="21"/>
        <v>0.16200000000000001</v>
      </c>
      <c r="I69" s="72">
        <f t="shared" si="25"/>
        <v>2.8846153846154008E-3</v>
      </c>
      <c r="J69" s="79">
        <f t="shared" si="15"/>
        <v>0.17019230769230775</v>
      </c>
      <c r="K69" s="220">
        <f t="shared" si="11"/>
        <v>170.19230769230776</v>
      </c>
      <c r="L69" s="167">
        <f t="shared" si="12"/>
        <v>1</v>
      </c>
      <c r="M69" s="70">
        <f t="shared" si="22"/>
        <v>5.7991769547325109</v>
      </c>
      <c r="N69" s="70">
        <f t="shared" si="16"/>
        <v>1.2132026627219001E-2</v>
      </c>
      <c r="O69" s="70">
        <f t="shared" si="14"/>
        <v>4.2057692307692305</v>
      </c>
      <c r="P69" s="70">
        <f t="shared" si="23"/>
        <v>8.411538461538461</v>
      </c>
      <c r="Q69" s="70">
        <f t="shared" si="24"/>
        <v>1.5771634615384613</v>
      </c>
    </row>
    <row r="70" spans="1:17" x14ac:dyDescent="0.2">
      <c r="A70" s="70">
        <f t="shared" si="17"/>
        <v>60</v>
      </c>
      <c r="B70" s="73">
        <f t="shared" si="18"/>
        <v>34.615384615384613</v>
      </c>
      <c r="C70" s="71">
        <f t="shared" si="19"/>
        <v>0</v>
      </c>
      <c r="D70" s="227">
        <f>B2</f>
        <v>243.9</v>
      </c>
      <c r="E70" s="69">
        <f t="shared" si="7"/>
        <v>9.6081818181818175</v>
      </c>
      <c r="F70" s="71">
        <f t="shared" si="20"/>
        <v>0.16200000000000001</v>
      </c>
      <c r="G70" s="69">
        <f t="shared" si="9"/>
        <v>0.16200000000000001</v>
      </c>
      <c r="H70" s="71">
        <f t="shared" si="21"/>
        <v>0.16200000000000001</v>
      </c>
      <c r="I70" s="72">
        <f t="shared" si="25"/>
        <v>2.8846153846153653E-3</v>
      </c>
      <c r="J70" s="79">
        <f t="shared" si="15"/>
        <v>0.17307692307692313</v>
      </c>
      <c r="K70" s="220">
        <f t="shared" si="11"/>
        <v>173.07692307692312</v>
      </c>
      <c r="L70" s="167">
        <f t="shared" si="12"/>
        <v>1</v>
      </c>
      <c r="M70" s="70">
        <f t="shared" si="22"/>
        <v>5.9309764309764299</v>
      </c>
      <c r="N70" s="70">
        <f t="shared" si="16"/>
        <v>1.1862426035502881E-2</v>
      </c>
      <c r="O70" s="70">
        <f t="shared" si="14"/>
        <v>4.1123076923076924</v>
      </c>
      <c r="P70" s="70">
        <f t="shared" si="23"/>
        <v>8.2246153846153849</v>
      </c>
      <c r="Q70" s="70">
        <f t="shared" si="24"/>
        <v>1.5421153846153848</v>
      </c>
    </row>
    <row r="71" spans="1:17" x14ac:dyDescent="0.2">
      <c r="A71" s="70">
        <f t="shared" si="17"/>
        <v>60</v>
      </c>
      <c r="B71" s="73">
        <f t="shared" si="18"/>
        <v>35.192307692307693</v>
      </c>
      <c r="C71" s="71">
        <f t="shared" si="19"/>
        <v>0</v>
      </c>
      <c r="D71" s="227">
        <f>B2</f>
        <v>243.9</v>
      </c>
      <c r="E71" s="69">
        <f t="shared" si="7"/>
        <v>9.8316279069767454</v>
      </c>
      <c r="F71" s="71">
        <f t="shared" si="20"/>
        <v>0.16200000000000001</v>
      </c>
      <c r="G71" s="69">
        <f t="shared" si="9"/>
        <v>0.16200000000000001</v>
      </c>
      <c r="H71" s="71">
        <f t="shared" si="21"/>
        <v>0.16200000000000001</v>
      </c>
      <c r="I71" s="72">
        <f t="shared" si="25"/>
        <v>2.8846153846154008E-3</v>
      </c>
      <c r="J71" s="79">
        <f t="shared" si="15"/>
        <v>0.17596153846153853</v>
      </c>
      <c r="K71" s="220">
        <f t="shared" si="11"/>
        <v>175.96153846153854</v>
      </c>
      <c r="L71" s="167">
        <f t="shared" si="12"/>
        <v>1</v>
      </c>
      <c r="M71" s="70">
        <f t="shared" si="22"/>
        <v>6.0689061154177439</v>
      </c>
      <c r="N71" s="70">
        <f t="shared" si="16"/>
        <v>1.1592825443787046E-2</v>
      </c>
      <c r="O71" s="70">
        <f t="shared" si="14"/>
        <v>4.0188461538461535</v>
      </c>
      <c r="P71" s="70">
        <f t="shared" si="23"/>
        <v>8.037692307692307</v>
      </c>
      <c r="Q71" s="70">
        <f t="shared" si="24"/>
        <v>1.5070673076923076</v>
      </c>
    </row>
    <row r="72" spans="1:17" x14ac:dyDescent="0.2">
      <c r="A72" s="70">
        <f t="shared" si="17"/>
        <v>60</v>
      </c>
      <c r="B72" s="73">
        <f t="shared" si="18"/>
        <v>35.769230769230766</v>
      </c>
      <c r="C72" s="71">
        <f t="shared" si="19"/>
        <v>0</v>
      </c>
      <c r="D72" s="227">
        <f>B2</f>
        <v>243.9</v>
      </c>
      <c r="E72" s="69">
        <f t="shared" si="7"/>
        <v>10.065714285714284</v>
      </c>
      <c r="F72" s="71">
        <f t="shared" si="20"/>
        <v>0.16200000000000001</v>
      </c>
      <c r="G72" s="69">
        <f t="shared" si="9"/>
        <v>0.16200000000000001</v>
      </c>
      <c r="H72" s="71">
        <f t="shared" si="21"/>
        <v>0.16200000000000001</v>
      </c>
      <c r="I72" s="72">
        <f t="shared" si="25"/>
        <v>2.8846153846153653E-3</v>
      </c>
      <c r="J72" s="79">
        <f t="shared" si="15"/>
        <v>0.1788461538461539</v>
      </c>
      <c r="K72" s="220">
        <f t="shared" si="11"/>
        <v>178.8461538461539</v>
      </c>
      <c r="L72" s="167">
        <f t="shared" si="12"/>
        <v>1</v>
      </c>
      <c r="M72" s="70">
        <f t="shared" si="22"/>
        <v>6.2134038800705449</v>
      </c>
      <c r="N72" s="70">
        <f t="shared" si="16"/>
        <v>1.1323224852070931E-2</v>
      </c>
      <c r="O72" s="70">
        <f t="shared" si="14"/>
        <v>3.9253846153846159</v>
      </c>
      <c r="P72" s="70">
        <f t="shared" si="23"/>
        <v>7.8507692307692318</v>
      </c>
      <c r="Q72" s="70">
        <f t="shared" si="24"/>
        <v>1.4720192307692308</v>
      </c>
    </row>
    <row r="73" spans="1:17" x14ac:dyDescent="0.2">
      <c r="A73" s="70">
        <f t="shared" si="17"/>
        <v>60</v>
      </c>
      <c r="B73" s="73">
        <f t="shared" si="18"/>
        <v>36.346153846153847</v>
      </c>
      <c r="C73" s="71">
        <f t="shared" si="19"/>
        <v>0</v>
      </c>
      <c r="D73" s="227">
        <f>B2</f>
        <v>243.9</v>
      </c>
      <c r="E73" s="69">
        <f t="shared" si="7"/>
        <v>10.311219512195123</v>
      </c>
      <c r="F73" s="71">
        <f t="shared" si="20"/>
        <v>0.16200000000000001</v>
      </c>
      <c r="G73" s="69">
        <f t="shared" si="9"/>
        <v>0.16200000000000001</v>
      </c>
      <c r="H73" s="71">
        <f t="shared" si="21"/>
        <v>0.16200000000000001</v>
      </c>
      <c r="I73" s="72">
        <f t="shared" si="25"/>
        <v>2.8846153846154008E-3</v>
      </c>
      <c r="J73" s="79">
        <f t="shared" si="15"/>
        <v>0.18173076923076931</v>
      </c>
      <c r="K73" s="220">
        <f t="shared" si="11"/>
        <v>181.73076923076931</v>
      </c>
      <c r="L73" s="167">
        <f t="shared" si="12"/>
        <v>1</v>
      </c>
      <c r="M73" s="70">
        <f t="shared" si="22"/>
        <v>6.3649503161698293</v>
      </c>
      <c r="N73" s="70">
        <f t="shared" si="16"/>
        <v>1.1053624260355091E-2</v>
      </c>
      <c r="O73" s="70">
        <f t="shared" si="14"/>
        <v>3.831923076923077</v>
      </c>
      <c r="P73" s="70">
        <f t="shared" si="23"/>
        <v>7.663846153846154</v>
      </c>
      <c r="Q73" s="70">
        <f t="shared" si="24"/>
        <v>1.4369711538461538</v>
      </c>
    </row>
    <row r="74" spans="1:17" x14ac:dyDescent="0.2">
      <c r="A74" s="70">
        <f t="shared" ref="A74:A105" si="26">VINMAX</f>
        <v>60</v>
      </c>
      <c r="B74" s="73">
        <f t="shared" ref="B74:B105" si="27">VINMAX*((ROW()-10)/104)</f>
        <v>36.923076923076927</v>
      </c>
      <c r="C74" s="71">
        <f t="shared" ref="C74:C105" si="28">IF(B74&gt;=$H$2,IF($D$2="CC", $G$2, B74/$G$2), 0)</f>
        <v>0</v>
      </c>
      <c r="D74" s="227">
        <f>B2</f>
        <v>243.9</v>
      </c>
      <c r="E74" s="69">
        <f t="shared" si="7"/>
        <v>10.569000000000003</v>
      </c>
      <c r="F74" s="71">
        <f t="shared" ref="F74:F105" si="29">I_Cout_ss+C74</f>
        <v>0.16200000000000001</v>
      </c>
      <c r="G74" s="69">
        <f t="shared" si="9"/>
        <v>0.16200000000000001</v>
      </c>
      <c r="H74" s="71">
        <f t="shared" ref="H74:H105" si="30">G74-C74</f>
        <v>0.16200000000000001</v>
      </c>
      <c r="I74" s="72">
        <f t="shared" si="25"/>
        <v>2.8846153846154008E-3</v>
      </c>
      <c r="J74" s="79">
        <f t="shared" si="15"/>
        <v>0.18461538461538471</v>
      </c>
      <c r="K74" s="220">
        <f t="shared" si="11"/>
        <v>184.6153846153847</v>
      </c>
      <c r="L74" s="167">
        <f t="shared" si="12"/>
        <v>1</v>
      </c>
      <c r="M74" s="70">
        <f t="shared" ref="M74:M105" si="31">1/COUTMAX*(E74/2-C74)*1000</f>
        <v>6.5240740740740755</v>
      </c>
      <c r="N74" s="70">
        <f t="shared" si="16"/>
        <v>1.0784023668639111E-2</v>
      </c>
      <c r="O74" s="70">
        <f t="shared" si="14"/>
        <v>3.7384615384615381</v>
      </c>
      <c r="P74" s="70">
        <f t="shared" ref="P74:P105" si="32">(A74-B74)*(I_Cout_ss*$Q$2+C74)</f>
        <v>7.4769230769230761</v>
      </c>
      <c r="Q74" s="70">
        <f t="shared" ref="Q74:Q105" si="33">(A74-B74)*(I_Cout_ss*$R$2+C74)</f>
        <v>1.4019230769230766</v>
      </c>
    </row>
    <row r="75" spans="1:17" x14ac:dyDescent="0.2">
      <c r="A75" s="70">
        <f t="shared" si="26"/>
        <v>60</v>
      </c>
      <c r="B75" s="73">
        <f t="shared" si="27"/>
        <v>37.5</v>
      </c>
      <c r="C75" s="71">
        <f t="shared" si="28"/>
        <v>0</v>
      </c>
      <c r="D75" s="227">
        <f>B2</f>
        <v>243.9</v>
      </c>
      <c r="E75" s="69">
        <f t="shared" ref="E75:E110" si="34">MIN(D75/(A75-B75),$C$2)</f>
        <v>10.84</v>
      </c>
      <c r="F75" s="71">
        <f t="shared" si="29"/>
        <v>0.16200000000000001</v>
      </c>
      <c r="G75" s="69">
        <f t="shared" ref="G75:G110" si="35">IF($F$2="YES", F75, E75)</f>
        <v>0.16200000000000001</v>
      </c>
      <c r="H75" s="71">
        <f t="shared" si="30"/>
        <v>0.16200000000000001</v>
      </c>
      <c r="I75" s="72">
        <f t="shared" ref="I75:I106" si="36">(COUTMAX/1000000)*(B75-B74)/H75</f>
        <v>2.8846153846153653E-3</v>
      </c>
      <c r="J75" s="79">
        <f t="shared" si="15"/>
        <v>0.18750000000000008</v>
      </c>
      <c r="K75" s="220">
        <f t="shared" ref="K75:K114" si="37">J75*1000</f>
        <v>187.50000000000009</v>
      </c>
      <c r="L75" s="167">
        <f t="shared" ref="L75:L110" si="38">H75/G75</f>
        <v>1</v>
      </c>
      <c r="M75" s="70">
        <f t="shared" si="31"/>
        <v>6.6913580246913584</v>
      </c>
      <c r="N75" s="70">
        <f t="shared" ref="N75:N110" si="39">I75*G75*(A75-B75)</f>
        <v>1.0514423076923006E-2</v>
      </c>
      <c r="O75" s="70">
        <f t="shared" ref="O75:O114" si="40">G75*(A75-B75)</f>
        <v>3.645</v>
      </c>
      <c r="P75" s="70">
        <f t="shared" si="32"/>
        <v>7.29</v>
      </c>
      <c r="Q75" s="70">
        <f t="shared" si="33"/>
        <v>1.3668750000000001</v>
      </c>
    </row>
    <row r="76" spans="1:17" x14ac:dyDescent="0.2">
      <c r="A76" s="70">
        <f t="shared" si="26"/>
        <v>60</v>
      </c>
      <c r="B76" s="73">
        <f t="shared" si="27"/>
        <v>38.076923076923073</v>
      </c>
      <c r="C76" s="71">
        <f t="shared" si="28"/>
        <v>0</v>
      </c>
      <c r="D76" s="227">
        <f>B2</f>
        <v>243.9</v>
      </c>
      <c r="E76" s="69">
        <f t="shared" si="34"/>
        <v>11.125263157894736</v>
      </c>
      <c r="F76" s="71">
        <f t="shared" si="29"/>
        <v>0.16200000000000001</v>
      </c>
      <c r="G76" s="69">
        <f t="shared" si="35"/>
        <v>0.16200000000000001</v>
      </c>
      <c r="H76" s="71">
        <f t="shared" si="30"/>
        <v>0.16200000000000001</v>
      </c>
      <c r="I76" s="72">
        <f t="shared" si="36"/>
        <v>2.8846153846153653E-3</v>
      </c>
      <c r="J76" s="79">
        <f t="shared" ref="J76:J110" si="41">J75+I76</f>
        <v>0.19038461538461546</v>
      </c>
      <c r="K76" s="220">
        <f t="shared" si="37"/>
        <v>190.38461538461544</v>
      </c>
      <c r="L76" s="167">
        <f t="shared" si="38"/>
        <v>1</v>
      </c>
      <c r="M76" s="70">
        <f t="shared" si="31"/>
        <v>6.867446393762183</v>
      </c>
      <c r="N76" s="70">
        <f t="shared" si="39"/>
        <v>1.0244822485207033E-2</v>
      </c>
      <c r="O76" s="70">
        <f t="shared" si="40"/>
        <v>3.5515384615384624</v>
      </c>
      <c r="P76" s="70">
        <f t="shared" si="32"/>
        <v>7.1030769230769248</v>
      </c>
      <c r="Q76" s="70">
        <f t="shared" si="33"/>
        <v>1.3318269230769233</v>
      </c>
    </row>
    <row r="77" spans="1:17" x14ac:dyDescent="0.2">
      <c r="A77" s="70">
        <f t="shared" si="26"/>
        <v>60</v>
      </c>
      <c r="B77" s="73">
        <f t="shared" si="27"/>
        <v>38.653846153846153</v>
      </c>
      <c r="C77" s="71">
        <f t="shared" si="28"/>
        <v>0</v>
      </c>
      <c r="D77" s="227">
        <f>B2</f>
        <v>243.9</v>
      </c>
      <c r="E77" s="69">
        <f t="shared" si="34"/>
        <v>11.425945945945946</v>
      </c>
      <c r="F77" s="71">
        <f t="shared" si="29"/>
        <v>0.16200000000000001</v>
      </c>
      <c r="G77" s="69">
        <f t="shared" si="35"/>
        <v>0.16200000000000001</v>
      </c>
      <c r="H77" s="71">
        <f t="shared" si="30"/>
        <v>0.16200000000000001</v>
      </c>
      <c r="I77" s="72">
        <f t="shared" si="36"/>
        <v>2.8846153846154008E-3</v>
      </c>
      <c r="J77" s="79">
        <f t="shared" si="41"/>
        <v>0.19326923076923086</v>
      </c>
      <c r="K77" s="220">
        <f t="shared" si="37"/>
        <v>193.26923076923086</v>
      </c>
      <c r="L77" s="167">
        <f t="shared" si="38"/>
        <v>1</v>
      </c>
      <c r="M77" s="70">
        <f t="shared" si="31"/>
        <v>7.0530530530530537</v>
      </c>
      <c r="N77" s="70">
        <f t="shared" si="39"/>
        <v>9.9752218934911797E-3</v>
      </c>
      <c r="O77" s="70">
        <f t="shared" si="40"/>
        <v>3.4580769230769235</v>
      </c>
      <c r="P77" s="70">
        <f t="shared" si="32"/>
        <v>6.916153846153847</v>
      </c>
      <c r="Q77" s="70">
        <f t="shared" si="33"/>
        <v>1.2967788461538461</v>
      </c>
    </row>
    <row r="78" spans="1:17" x14ac:dyDescent="0.2">
      <c r="A78" s="70">
        <f t="shared" si="26"/>
        <v>60</v>
      </c>
      <c r="B78" s="73">
        <f t="shared" si="27"/>
        <v>39.230769230769234</v>
      </c>
      <c r="C78" s="71">
        <f t="shared" si="28"/>
        <v>0</v>
      </c>
      <c r="D78" s="227">
        <f>B2</f>
        <v>243.9</v>
      </c>
      <c r="E78" s="69">
        <f t="shared" si="34"/>
        <v>11.743333333333336</v>
      </c>
      <c r="F78" s="71">
        <f t="shared" si="29"/>
        <v>0.16200000000000001</v>
      </c>
      <c r="G78" s="69">
        <f t="shared" si="35"/>
        <v>0.16200000000000001</v>
      </c>
      <c r="H78" s="71">
        <f t="shared" si="30"/>
        <v>0.16200000000000001</v>
      </c>
      <c r="I78" s="72">
        <f t="shared" si="36"/>
        <v>2.8846153846154008E-3</v>
      </c>
      <c r="J78" s="79">
        <f t="shared" si="41"/>
        <v>0.19615384615384626</v>
      </c>
      <c r="K78" s="220">
        <f t="shared" si="37"/>
        <v>196.15384615384627</v>
      </c>
      <c r="L78" s="167">
        <f t="shared" si="38"/>
        <v>1</v>
      </c>
      <c r="M78" s="70">
        <f t="shared" si="31"/>
        <v>7.2489711934156391</v>
      </c>
      <c r="N78" s="70">
        <f t="shared" si="39"/>
        <v>9.7056213017752014E-3</v>
      </c>
      <c r="O78" s="70">
        <f t="shared" si="40"/>
        <v>3.3646153846153841</v>
      </c>
      <c r="P78" s="70">
        <f t="shared" si="32"/>
        <v>6.7292307692307682</v>
      </c>
      <c r="Q78" s="70">
        <f t="shared" si="33"/>
        <v>1.2617307692307691</v>
      </c>
    </row>
    <row r="79" spans="1:17" x14ac:dyDescent="0.2">
      <c r="A79" s="70">
        <f t="shared" si="26"/>
        <v>60</v>
      </c>
      <c r="B79" s="73">
        <f t="shared" si="27"/>
        <v>39.807692307692307</v>
      </c>
      <c r="C79" s="71">
        <f t="shared" si="28"/>
        <v>0</v>
      </c>
      <c r="D79" s="227">
        <f>B2</f>
        <v>243.9</v>
      </c>
      <c r="E79" s="69">
        <f t="shared" si="34"/>
        <v>12.078857142857142</v>
      </c>
      <c r="F79" s="71">
        <f t="shared" si="29"/>
        <v>0.16200000000000001</v>
      </c>
      <c r="G79" s="69">
        <f t="shared" si="35"/>
        <v>0.16200000000000001</v>
      </c>
      <c r="H79" s="71">
        <f t="shared" si="30"/>
        <v>0.16200000000000001</v>
      </c>
      <c r="I79" s="72">
        <f t="shared" si="36"/>
        <v>2.8846153846153653E-3</v>
      </c>
      <c r="J79" s="79">
        <f t="shared" si="41"/>
        <v>0.19903846153846164</v>
      </c>
      <c r="K79" s="220">
        <f t="shared" si="37"/>
        <v>199.03846153846163</v>
      </c>
      <c r="L79" s="167">
        <f t="shared" si="38"/>
        <v>1</v>
      </c>
      <c r="M79" s="70">
        <f t="shared" si="31"/>
        <v>7.4560846560846556</v>
      </c>
      <c r="N79" s="70">
        <f t="shared" si="39"/>
        <v>9.4360207100591086E-3</v>
      </c>
      <c r="O79" s="70">
        <f t="shared" si="40"/>
        <v>3.2711538461538465</v>
      </c>
      <c r="P79" s="70">
        <f t="shared" si="32"/>
        <v>6.542307692307693</v>
      </c>
      <c r="Q79" s="70">
        <f t="shared" si="33"/>
        <v>1.2266826923076923</v>
      </c>
    </row>
    <row r="80" spans="1:17" x14ac:dyDescent="0.2">
      <c r="A80" s="70">
        <f t="shared" si="26"/>
        <v>60</v>
      </c>
      <c r="B80" s="73">
        <f t="shared" si="27"/>
        <v>40.384615384615387</v>
      </c>
      <c r="C80" s="71">
        <f t="shared" si="28"/>
        <v>0</v>
      </c>
      <c r="D80" s="227">
        <f>B2</f>
        <v>243.9</v>
      </c>
      <c r="E80" s="69">
        <f t="shared" si="34"/>
        <v>12.434117647058825</v>
      </c>
      <c r="F80" s="71">
        <f t="shared" si="29"/>
        <v>0.16200000000000001</v>
      </c>
      <c r="G80" s="69">
        <f t="shared" si="35"/>
        <v>0.16200000000000001</v>
      </c>
      <c r="H80" s="71">
        <f t="shared" si="30"/>
        <v>0.16200000000000001</v>
      </c>
      <c r="I80" s="72">
        <f t="shared" si="36"/>
        <v>2.8846153846154008E-3</v>
      </c>
      <c r="J80" s="79">
        <f t="shared" si="41"/>
        <v>0.20192307692307704</v>
      </c>
      <c r="K80" s="220">
        <f t="shared" si="37"/>
        <v>201.92307692307705</v>
      </c>
      <c r="L80" s="167">
        <f t="shared" si="38"/>
        <v>1</v>
      </c>
      <c r="M80" s="70">
        <f t="shared" si="31"/>
        <v>7.6753812636165586</v>
      </c>
      <c r="N80" s="70">
        <f t="shared" si="39"/>
        <v>9.1664201183432464E-3</v>
      </c>
      <c r="O80" s="70">
        <f t="shared" si="40"/>
        <v>3.1776923076923076</v>
      </c>
      <c r="P80" s="70">
        <f t="shared" si="32"/>
        <v>6.3553846153846152</v>
      </c>
      <c r="Q80" s="70">
        <f t="shared" si="33"/>
        <v>1.1916346153846151</v>
      </c>
    </row>
    <row r="81" spans="1:17" x14ac:dyDescent="0.2">
      <c r="A81" s="70">
        <f t="shared" si="26"/>
        <v>60</v>
      </c>
      <c r="B81" s="73">
        <f t="shared" si="27"/>
        <v>40.96153846153846</v>
      </c>
      <c r="C81" s="71">
        <f t="shared" si="28"/>
        <v>0</v>
      </c>
      <c r="D81" s="227">
        <f>B2</f>
        <v>243.9</v>
      </c>
      <c r="E81" s="69">
        <f t="shared" si="34"/>
        <v>12.810909090909091</v>
      </c>
      <c r="F81" s="71">
        <f t="shared" si="29"/>
        <v>0.16200000000000001</v>
      </c>
      <c r="G81" s="69">
        <f t="shared" si="35"/>
        <v>0.16200000000000001</v>
      </c>
      <c r="H81" s="71">
        <f t="shared" si="30"/>
        <v>0.16200000000000001</v>
      </c>
      <c r="I81" s="72">
        <f t="shared" si="36"/>
        <v>2.8846153846153653E-3</v>
      </c>
      <c r="J81" s="79">
        <f t="shared" si="41"/>
        <v>0.20480769230769241</v>
      </c>
      <c r="K81" s="220">
        <f t="shared" si="37"/>
        <v>204.80769230769241</v>
      </c>
      <c r="L81" s="167">
        <f t="shared" si="38"/>
        <v>1</v>
      </c>
      <c r="M81" s="70">
        <f t="shared" si="31"/>
        <v>7.9079685746352419</v>
      </c>
      <c r="N81" s="70">
        <f t="shared" si="39"/>
        <v>8.8968195266271605E-3</v>
      </c>
      <c r="O81" s="70">
        <f t="shared" si="40"/>
        <v>3.0842307692307696</v>
      </c>
      <c r="P81" s="70">
        <f t="shared" si="32"/>
        <v>6.1684615384615391</v>
      </c>
      <c r="Q81" s="70">
        <f t="shared" si="33"/>
        <v>1.1565865384615386</v>
      </c>
    </row>
    <row r="82" spans="1:17" x14ac:dyDescent="0.2">
      <c r="A82" s="70">
        <f t="shared" si="26"/>
        <v>60</v>
      </c>
      <c r="B82" s="73">
        <f t="shared" si="27"/>
        <v>41.53846153846154</v>
      </c>
      <c r="C82" s="71">
        <f t="shared" si="28"/>
        <v>0</v>
      </c>
      <c r="D82" s="227">
        <f>B2</f>
        <v>243.9</v>
      </c>
      <c r="E82" s="69">
        <f t="shared" si="34"/>
        <v>13.211250000000001</v>
      </c>
      <c r="F82" s="71">
        <f t="shared" si="29"/>
        <v>0.16200000000000001</v>
      </c>
      <c r="G82" s="69">
        <f t="shared" si="35"/>
        <v>0.16200000000000001</v>
      </c>
      <c r="H82" s="71">
        <f t="shared" si="30"/>
        <v>0.16200000000000001</v>
      </c>
      <c r="I82" s="72">
        <f t="shared" si="36"/>
        <v>2.8846153846154008E-3</v>
      </c>
      <c r="J82" s="79">
        <f t="shared" si="41"/>
        <v>0.20769230769230781</v>
      </c>
      <c r="K82" s="220">
        <f t="shared" si="37"/>
        <v>207.69230769230782</v>
      </c>
      <c r="L82" s="167">
        <f t="shared" si="38"/>
        <v>1</v>
      </c>
      <c r="M82" s="70">
        <f t="shared" si="31"/>
        <v>8.1550925925925934</v>
      </c>
      <c r="N82" s="70">
        <f t="shared" si="39"/>
        <v>8.6272189349112897E-3</v>
      </c>
      <c r="O82" s="70">
        <f t="shared" si="40"/>
        <v>2.9907692307692306</v>
      </c>
      <c r="P82" s="70">
        <f t="shared" si="32"/>
        <v>5.9815384615384612</v>
      </c>
      <c r="Q82" s="70">
        <f t="shared" si="33"/>
        <v>1.1215384615384614</v>
      </c>
    </row>
    <row r="83" spans="1:17" x14ac:dyDescent="0.2">
      <c r="A83" s="70">
        <f t="shared" si="26"/>
        <v>60</v>
      </c>
      <c r="B83" s="73">
        <f t="shared" si="27"/>
        <v>42.115384615384613</v>
      </c>
      <c r="C83" s="71">
        <f t="shared" si="28"/>
        <v>0</v>
      </c>
      <c r="D83" s="227">
        <f>B2</f>
        <v>243.9</v>
      </c>
      <c r="E83" s="69">
        <f t="shared" si="34"/>
        <v>13.637419354838709</v>
      </c>
      <c r="F83" s="71">
        <f t="shared" si="29"/>
        <v>0.16200000000000001</v>
      </c>
      <c r="G83" s="69">
        <f t="shared" si="35"/>
        <v>0.16200000000000001</v>
      </c>
      <c r="H83" s="71">
        <f t="shared" si="30"/>
        <v>0.16200000000000001</v>
      </c>
      <c r="I83" s="72">
        <f t="shared" si="36"/>
        <v>2.8846153846153653E-3</v>
      </c>
      <c r="J83" s="79">
        <f t="shared" si="41"/>
        <v>0.21057692307692319</v>
      </c>
      <c r="K83" s="220">
        <f t="shared" si="37"/>
        <v>210.57692307692318</v>
      </c>
      <c r="L83" s="167">
        <f t="shared" si="38"/>
        <v>1</v>
      </c>
      <c r="M83" s="70">
        <f t="shared" si="31"/>
        <v>8.4181600955794504</v>
      </c>
      <c r="N83" s="70">
        <f t="shared" si="39"/>
        <v>8.3576183431952108E-3</v>
      </c>
      <c r="O83" s="70">
        <f t="shared" si="40"/>
        <v>2.8973076923076926</v>
      </c>
      <c r="P83" s="70">
        <f t="shared" si="32"/>
        <v>5.7946153846153852</v>
      </c>
      <c r="Q83" s="70">
        <f t="shared" si="33"/>
        <v>1.0864903846153848</v>
      </c>
    </row>
    <row r="84" spans="1:17" x14ac:dyDescent="0.2">
      <c r="A84" s="70">
        <f t="shared" si="26"/>
        <v>60</v>
      </c>
      <c r="B84" s="73">
        <f t="shared" si="27"/>
        <v>42.692307692307693</v>
      </c>
      <c r="C84" s="71">
        <f t="shared" si="28"/>
        <v>0</v>
      </c>
      <c r="D84" s="227">
        <f>B2</f>
        <v>243.9</v>
      </c>
      <c r="E84" s="69">
        <f t="shared" si="34"/>
        <v>14.092000000000001</v>
      </c>
      <c r="F84" s="71">
        <f t="shared" si="29"/>
        <v>0.16200000000000001</v>
      </c>
      <c r="G84" s="69">
        <f t="shared" si="35"/>
        <v>0.16200000000000001</v>
      </c>
      <c r="H84" s="71">
        <f t="shared" si="30"/>
        <v>0.16200000000000001</v>
      </c>
      <c r="I84" s="72">
        <f t="shared" si="36"/>
        <v>2.8846153846154008E-3</v>
      </c>
      <c r="J84" s="79">
        <f t="shared" si="41"/>
        <v>0.21346153846153859</v>
      </c>
      <c r="K84" s="220">
        <f t="shared" si="37"/>
        <v>213.46153846153859</v>
      </c>
      <c r="L84" s="167">
        <f t="shared" si="38"/>
        <v>1</v>
      </c>
      <c r="M84" s="70">
        <f t="shared" si="31"/>
        <v>8.6987654320987655</v>
      </c>
      <c r="N84" s="70">
        <f t="shared" si="39"/>
        <v>8.0880177514793348E-3</v>
      </c>
      <c r="O84" s="70">
        <f t="shared" si="40"/>
        <v>2.8038461538461537</v>
      </c>
      <c r="P84" s="70">
        <f t="shared" si="32"/>
        <v>5.6076923076923073</v>
      </c>
      <c r="Q84" s="70">
        <f t="shared" si="33"/>
        <v>1.0514423076923076</v>
      </c>
    </row>
    <row r="85" spans="1:17" x14ac:dyDescent="0.2">
      <c r="A85" s="70">
        <f t="shared" si="26"/>
        <v>60</v>
      </c>
      <c r="B85" s="73">
        <f t="shared" si="27"/>
        <v>43.269230769230766</v>
      </c>
      <c r="C85" s="71">
        <f t="shared" si="28"/>
        <v>0</v>
      </c>
      <c r="D85" s="227">
        <f>B2</f>
        <v>243.9</v>
      </c>
      <c r="E85" s="69">
        <f t="shared" si="34"/>
        <v>14.577931034482756</v>
      </c>
      <c r="F85" s="71">
        <f t="shared" si="29"/>
        <v>0.16200000000000001</v>
      </c>
      <c r="G85" s="69">
        <f t="shared" si="35"/>
        <v>0.16200000000000001</v>
      </c>
      <c r="H85" s="71">
        <f t="shared" si="30"/>
        <v>0.16200000000000001</v>
      </c>
      <c r="I85" s="72">
        <f t="shared" si="36"/>
        <v>2.8846153846153653E-3</v>
      </c>
      <c r="J85" s="79">
        <f t="shared" si="41"/>
        <v>0.21634615384615397</v>
      </c>
      <c r="K85" s="220">
        <f t="shared" si="37"/>
        <v>216.34615384615395</v>
      </c>
      <c r="L85" s="167">
        <f t="shared" si="38"/>
        <v>1</v>
      </c>
      <c r="M85" s="70">
        <f t="shared" si="31"/>
        <v>8.9987228607918244</v>
      </c>
      <c r="N85" s="70">
        <f t="shared" si="39"/>
        <v>7.8184171597632628E-3</v>
      </c>
      <c r="O85" s="70">
        <f t="shared" si="40"/>
        <v>2.7103846153846161</v>
      </c>
      <c r="P85" s="70">
        <f t="shared" si="32"/>
        <v>5.4207692307692321</v>
      </c>
      <c r="Q85" s="70">
        <f t="shared" si="33"/>
        <v>1.0163942307692309</v>
      </c>
    </row>
    <row r="86" spans="1:17" x14ac:dyDescent="0.2">
      <c r="A86" s="70">
        <f t="shared" si="26"/>
        <v>60</v>
      </c>
      <c r="B86" s="73">
        <f t="shared" si="27"/>
        <v>43.846153846153847</v>
      </c>
      <c r="C86" s="71">
        <f t="shared" si="28"/>
        <v>0</v>
      </c>
      <c r="D86" s="227">
        <f>B2</f>
        <v>243.9</v>
      </c>
      <c r="E86" s="69">
        <f t="shared" si="34"/>
        <v>15.098571428571429</v>
      </c>
      <c r="F86" s="71">
        <f t="shared" si="29"/>
        <v>0.16200000000000001</v>
      </c>
      <c r="G86" s="69">
        <f t="shared" si="35"/>
        <v>0.16200000000000001</v>
      </c>
      <c r="H86" s="71">
        <f t="shared" si="30"/>
        <v>0.16200000000000001</v>
      </c>
      <c r="I86" s="72">
        <f t="shared" si="36"/>
        <v>2.8846153846154008E-3</v>
      </c>
      <c r="J86" s="79">
        <f t="shared" si="41"/>
        <v>0.21923076923076937</v>
      </c>
      <c r="K86" s="220">
        <f t="shared" si="37"/>
        <v>219.23076923076937</v>
      </c>
      <c r="L86" s="167">
        <f t="shared" si="38"/>
        <v>1</v>
      </c>
      <c r="M86" s="70">
        <f t="shared" si="31"/>
        <v>9.3201058201058213</v>
      </c>
      <c r="N86" s="70">
        <f t="shared" si="39"/>
        <v>7.548816568047379E-3</v>
      </c>
      <c r="O86" s="70">
        <f t="shared" si="40"/>
        <v>2.6169230769230771</v>
      </c>
      <c r="P86" s="70">
        <f t="shared" si="32"/>
        <v>5.2338461538461543</v>
      </c>
      <c r="Q86" s="70">
        <f t="shared" si="33"/>
        <v>0.98134615384615376</v>
      </c>
    </row>
    <row r="87" spans="1:17" x14ac:dyDescent="0.2">
      <c r="A87" s="70">
        <f t="shared" si="26"/>
        <v>60</v>
      </c>
      <c r="B87" s="73">
        <f t="shared" si="27"/>
        <v>44.423076923076927</v>
      </c>
      <c r="C87" s="71">
        <f t="shared" si="28"/>
        <v>0</v>
      </c>
      <c r="D87" s="227">
        <f>B2</f>
        <v>243.9</v>
      </c>
      <c r="E87" s="69">
        <f t="shared" si="34"/>
        <v>15.657777777777781</v>
      </c>
      <c r="F87" s="71">
        <f t="shared" si="29"/>
        <v>0.16200000000000001</v>
      </c>
      <c r="G87" s="69">
        <f t="shared" si="35"/>
        <v>0.16200000000000001</v>
      </c>
      <c r="H87" s="71">
        <f t="shared" si="30"/>
        <v>0.16200000000000001</v>
      </c>
      <c r="I87" s="72">
        <f t="shared" si="36"/>
        <v>2.8846153846154008E-3</v>
      </c>
      <c r="J87" s="79">
        <f t="shared" si="41"/>
        <v>0.22211538461538477</v>
      </c>
      <c r="K87" s="220">
        <f t="shared" si="37"/>
        <v>222.11538461538478</v>
      </c>
      <c r="L87" s="167">
        <f t="shared" si="38"/>
        <v>1</v>
      </c>
      <c r="M87" s="70">
        <f t="shared" si="31"/>
        <v>9.6652949245541855</v>
      </c>
      <c r="N87" s="70">
        <f t="shared" si="39"/>
        <v>7.2792159763313997E-3</v>
      </c>
      <c r="O87" s="70">
        <f t="shared" si="40"/>
        <v>2.5234615384615378</v>
      </c>
      <c r="P87" s="70">
        <f t="shared" si="32"/>
        <v>5.0469230769230755</v>
      </c>
      <c r="Q87" s="70">
        <f t="shared" si="33"/>
        <v>0.94629807692307666</v>
      </c>
    </row>
    <row r="88" spans="1:17" x14ac:dyDescent="0.2">
      <c r="A88" s="70">
        <f t="shared" si="26"/>
        <v>60</v>
      </c>
      <c r="B88" s="73">
        <f t="shared" si="27"/>
        <v>45</v>
      </c>
      <c r="C88" s="71">
        <f t="shared" si="28"/>
        <v>0.1</v>
      </c>
      <c r="D88" s="227">
        <f>B2</f>
        <v>243.9</v>
      </c>
      <c r="E88" s="69">
        <f t="shared" si="34"/>
        <v>16.260000000000002</v>
      </c>
      <c r="F88" s="71">
        <f t="shared" si="29"/>
        <v>0.26200000000000001</v>
      </c>
      <c r="G88" s="69">
        <f t="shared" si="35"/>
        <v>0.26200000000000001</v>
      </c>
      <c r="H88" s="71">
        <f t="shared" si="30"/>
        <v>0.16200000000000001</v>
      </c>
      <c r="I88" s="72">
        <f t="shared" si="36"/>
        <v>2.8846153846153653E-3</v>
      </c>
      <c r="J88" s="79">
        <f t="shared" si="41"/>
        <v>0.22500000000000014</v>
      </c>
      <c r="K88" s="220">
        <f t="shared" si="37"/>
        <v>225.00000000000014</v>
      </c>
      <c r="L88" s="167">
        <f t="shared" si="38"/>
        <v>0.61832061068702293</v>
      </c>
      <c r="M88" s="70">
        <f t="shared" si="31"/>
        <v>9.9135802469135808</v>
      </c>
      <c r="N88" s="70">
        <f t="shared" si="39"/>
        <v>1.1336538461538386E-2</v>
      </c>
      <c r="O88" s="70">
        <f t="shared" si="40"/>
        <v>3.93</v>
      </c>
      <c r="P88" s="70">
        <f t="shared" si="32"/>
        <v>6.36</v>
      </c>
      <c r="Q88" s="70">
        <f t="shared" si="33"/>
        <v>2.4112499999999999</v>
      </c>
    </row>
    <row r="89" spans="1:17" x14ac:dyDescent="0.2">
      <c r="A89" s="70">
        <f t="shared" si="26"/>
        <v>60</v>
      </c>
      <c r="B89" s="73">
        <f t="shared" si="27"/>
        <v>45.576923076923073</v>
      </c>
      <c r="C89" s="71">
        <f t="shared" si="28"/>
        <v>0.1</v>
      </c>
      <c r="D89" s="227">
        <f>B2</f>
        <v>243.9</v>
      </c>
      <c r="E89" s="69">
        <f t="shared" si="34"/>
        <v>16.910399999999996</v>
      </c>
      <c r="F89" s="71">
        <f t="shared" si="29"/>
        <v>0.26200000000000001</v>
      </c>
      <c r="G89" s="69">
        <f t="shared" si="35"/>
        <v>0.26200000000000001</v>
      </c>
      <c r="H89" s="71">
        <f t="shared" si="30"/>
        <v>0.16200000000000001</v>
      </c>
      <c r="I89" s="72">
        <f t="shared" si="36"/>
        <v>2.8846153846153653E-3</v>
      </c>
      <c r="J89" s="79">
        <f t="shared" si="41"/>
        <v>0.22788461538461552</v>
      </c>
      <c r="K89" s="220">
        <f t="shared" si="37"/>
        <v>227.88461538461553</v>
      </c>
      <c r="L89" s="167">
        <f t="shared" si="38"/>
        <v>0.61832061068702293</v>
      </c>
      <c r="M89" s="70">
        <f t="shared" si="31"/>
        <v>10.31506172839506</v>
      </c>
      <c r="N89" s="70">
        <f t="shared" si="39"/>
        <v>1.0900517751479221E-2</v>
      </c>
      <c r="O89" s="70">
        <f t="shared" si="40"/>
        <v>3.7788461538461551</v>
      </c>
      <c r="P89" s="70">
        <f t="shared" si="32"/>
        <v>6.1153846153846176</v>
      </c>
      <c r="Q89" s="70">
        <f t="shared" si="33"/>
        <v>2.3185096153846159</v>
      </c>
    </row>
    <row r="90" spans="1:17" x14ac:dyDescent="0.2">
      <c r="A90" s="70">
        <f t="shared" si="26"/>
        <v>60</v>
      </c>
      <c r="B90" s="73">
        <f t="shared" si="27"/>
        <v>46.153846153846153</v>
      </c>
      <c r="C90" s="71">
        <f t="shared" si="28"/>
        <v>0.1</v>
      </c>
      <c r="D90" s="227">
        <f>B2</f>
        <v>243.9</v>
      </c>
      <c r="E90" s="69">
        <f t="shared" si="34"/>
        <v>17.614999999999998</v>
      </c>
      <c r="F90" s="71">
        <f t="shared" si="29"/>
        <v>0.26200000000000001</v>
      </c>
      <c r="G90" s="69">
        <f t="shared" si="35"/>
        <v>0.26200000000000001</v>
      </c>
      <c r="H90" s="71">
        <f t="shared" si="30"/>
        <v>0.16200000000000001</v>
      </c>
      <c r="I90" s="72">
        <f t="shared" si="36"/>
        <v>2.8846153846154008E-3</v>
      </c>
      <c r="J90" s="79">
        <f t="shared" si="41"/>
        <v>0.23076923076923092</v>
      </c>
      <c r="K90" s="220">
        <f t="shared" si="37"/>
        <v>230.76923076923092</v>
      </c>
      <c r="L90" s="167">
        <f t="shared" si="38"/>
        <v>0.61832061068702293</v>
      </c>
      <c r="M90" s="70">
        <f t="shared" si="31"/>
        <v>10.75</v>
      </c>
      <c r="N90" s="70">
        <f t="shared" si="39"/>
        <v>1.0464497041420179E-2</v>
      </c>
      <c r="O90" s="70">
        <f t="shared" si="40"/>
        <v>3.6276923076923078</v>
      </c>
      <c r="P90" s="70">
        <f t="shared" si="32"/>
        <v>5.8707692307692314</v>
      </c>
      <c r="Q90" s="70">
        <f t="shared" si="33"/>
        <v>2.2257692307692309</v>
      </c>
    </row>
    <row r="91" spans="1:17" x14ac:dyDescent="0.2">
      <c r="A91" s="70">
        <f t="shared" si="26"/>
        <v>60</v>
      </c>
      <c r="B91" s="73">
        <f t="shared" si="27"/>
        <v>46.730769230769234</v>
      </c>
      <c r="C91" s="71">
        <f t="shared" si="28"/>
        <v>0.1</v>
      </c>
      <c r="D91" s="227">
        <f>B2</f>
        <v>243.9</v>
      </c>
      <c r="E91" s="69">
        <f t="shared" si="34"/>
        <v>18.380869565217395</v>
      </c>
      <c r="F91" s="71">
        <f t="shared" si="29"/>
        <v>0.26200000000000001</v>
      </c>
      <c r="G91" s="69">
        <f t="shared" si="35"/>
        <v>0.26200000000000001</v>
      </c>
      <c r="H91" s="71">
        <f t="shared" si="30"/>
        <v>0.16200000000000001</v>
      </c>
      <c r="I91" s="72">
        <f t="shared" si="36"/>
        <v>2.8846153846154008E-3</v>
      </c>
      <c r="J91" s="79">
        <f t="shared" si="41"/>
        <v>0.23365384615384632</v>
      </c>
      <c r="K91" s="220">
        <f t="shared" si="37"/>
        <v>233.65384615384633</v>
      </c>
      <c r="L91" s="167">
        <f t="shared" si="38"/>
        <v>0.61832061068702293</v>
      </c>
      <c r="M91" s="70">
        <f t="shared" si="31"/>
        <v>11.222758990874935</v>
      </c>
      <c r="N91" s="70">
        <f t="shared" si="39"/>
        <v>1.0028476331361003E-2</v>
      </c>
      <c r="O91" s="70">
        <f t="shared" si="40"/>
        <v>3.4765384615384609</v>
      </c>
      <c r="P91" s="70">
        <f t="shared" si="32"/>
        <v>5.6261538461538452</v>
      </c>
      <c r="Q91" s="70">
        <f t="shared" si="33"/>
        <v>2.1330288461538456</v>
      </c>
    </row>
    <row r="92" spans="1:17" x14ac:dyDescent="0.2">
      <c r="A92" s="70">
        <f t="shared" si="26"/>
        <v>60</v>
      </c>
      <c r="B92" s="73">
        <f t="shared" si="27"/>
        <v>47.307692307692307</v>
      </c>
      <c r="C92" s="71">
        <f t="shared" si="28"/>
        <v>0.1</v>
      </c>
      <c r="D92" s="227">
        <f>B2</f>
        <v>243.9</v>
      </c>
      <c r="E92" s="69">
        <f t="shared" si="34"/>
        <v>19.216363636363635</v>
      </c>
      <c r="F92" s="71">
        <f t="shared" si="29"/>
        <v>0.26200000000000001</v>
      </c>
      <c r="G92" s="69">
        <f t="shared" si="35"/>
        <v>0.26200000000000001</v>
      </c>
      <c r="H92" s="71">
        <f t="shared" si="30"/>
        <v>0.16200000000000001</v>
      </c>
      <c r="I92" s="72">
        <f t="shared" si="36"/>
        <v>2.8846153846153653E-3</v>
      </c>
      <c r="J92" s="79">
        <f t="shared" si="41"/>
        <v>0.2365384615384617</v>
      </c>
      <c r="K92" s="220">
        <f t="shared" si="37"/>
        <v>236.53846153846169</v>
      </c>
      <c r="L92" s="167">
        <f t="shared" si="38"/>
        <v>0.61832061068702293</v>
      </c>
      <c r="M92" s="70">
        <f t="shared" si="31"/>
        <v>11.738496071829404</v>
      </c>
      <c r="N92" s="70">
        <f t="shared" si="39"/>
        <v>9.5924556213017129E-3</v>
      </c>
      <c r="O92" s="70">
        <f t="shared" si="40"/>
        <v>3.3253846153846158</v>
      </c>
      <c r="P92" s="70">
        <f t="shared" si="32"/>
        <v>5.3815384615384625</v>
      </c>
      <c r="Q92" s="70">
        <f t="shared" si="33"/>
        <v>2.0402884615384616</v>
      </c>
    </row>
    <row r="93" spans="1:17" x14ac:dyDescent="0.2">
      <c r="A93" s="70">
        <f t="shared" si="26"/>
        <v>60</v>
      </c>
      <c r="B93" s="73">
        <f t="shared" si="27"/>
        <v>47.884615384615387</v>
      </c>
      <c r="C93" s="71">
        <f t="shared" si="28"/>
        <v>0.1</v>
      </c>
      <c r="D93" s="227">
        <f>B2</f>
        <v>243.9</v>
      </c>
      <c r="E93" s="69">
        <f t="shared" si="34"/>
        <v>20.131428571428575</v>
      </c>
      <c r="F93" s="71">
        <f t="shared" si="29"/>
        <v>0.26200000000000001</v>
      </c>
      <c r="G93" s="69">
        <f t="shared" si="35"/>
        <v>0.26200000000000001</v>
      </c>
      <c r="H93" s="71">
        <f t="shared" si="30"/>
        <v>0.16200000000000001</v>
      </c>
      <c r="I93" s="72">
        <f t="shared" si="36"/>
        <v>2.8846153846154008E-3</v>
      </c>
      <c r="J93" s="79">
        <f t="shared" si="41"/>
        <v>0.2394230769230771</v>
      </c>
      <c r="K93" s="220">
        <f t="shared" si="37"/>
        <v>239.4230769230771</v>
      </c>
      <c r="L93" s="167">
        <f t="shared" si="38"/>
        <v>0.61832061068702293</v>
      </c>
      <c r="M93" s="70">
        <f t="shared" si="31"/>
        <v>12.303350970017638</v>
      </c>
      <c r="N93" s="70">
        <f t="shared" si="39"/>
        <v>9.156434911242654E-3</v>
      </c>
      <c r="O93" s="70">
        <f t="shared" si="40"/>
        <v>3.174230769230769</v>
      </c>
      <c r="P93" s="70">
        <f t="shared" si="32"/>
        <v>5.1369230769230763</v>
      </c>
      <c r="Q93" s="70">
        <f t="shared" si="33"/>
        <v>1.9475480769230766</v>
      </c>
    </row>
    <row r="94" spans="1:17" x14ac:dyDescent="0.2">
      <c r="A94" s="70">
        <f t="shared" si="26"/>
        <v>60</v>
      </c>
      <c r="B94" s="73">
        <f t="shared" si="27"/>
        <v>48.46153846153846</v>
      </c>
      <c r="C94" s="71">
        <f t="shared" si="28"/>
        <v>0.1</v>
      </c>
      <c r="D94" s="227">
        <f>B2</f>
        <v>243.9</v>
      </c>
      <c r="E94" s="69">
        <f t="shared" si="34"/>
        <v>21.137999999999998</v>
      </c>
      <c r="F94" s="71">
        <f t="shared" si="29"/>
        <v>0.26200000000000001</v>
      </c>
      <c r="G94" s="69">
        <f t="shared" si="35"/>
        <v>0.26200000000000001</v>
      </c>
      <c r="H94" s="71">
        <f t="shared" si="30"/>
        <v>0.16200000000000001</v>
      </c>
      <c r="I94" s="72">
        <f t="shared" si="36"/>
        <v>2.8846153846153653E-3</v>
      </c>
      <c r="J94" s="79">
        <f t="shared" si="41"/>
        <v>0.24230769230769247</v>
      </c>
      <c r="K94" s="220">
        <f t="shared" si="37"/>
        <v>242.30769230769246</v>
      </c>
      <c r="L94" s="167">
        <f t="shared" si="38"/>
        <v>0.61832061068702293</v>
      </c>
      <c r="M94" s="70">
        <f t="shared" si="31"/>
        <v>12.92469135802469</v>
      </c>
      <c r="N94" s="70">
        <f t="shared" si="39"/>
        <v>8.7204142011833748E-3</v>
      </c>
      <c r="O94" s="70">
        <f t="shared" si="40"/>
        <v>3.0230769230769234</v>
      </c>
      <c r="P94" s="70">
        <f t="shared" si="32"/>
        <v>4.8923076923076936</v>
      </c>
      <c r="Q94" s="70">
        <f t="shared" si="33"/>
        <v>1.8548076923076926</v>
      </c>
    </row>
    <row r="95" spans="1:17" x14ac:dyDescent="0.2">
      <c r="A95" s="70">
        <f t="shared" si="26"/>
        <v>60</v>
      </c>
      <c r="B95" s="73">
        <f t="shared" si="27"/>
        <v>49.03846153846154</v>
      </c>
      <c r="C95" s="71">
        <f t="shared" si="28"/>
        <v>0.1</v>
      </c>
      <c r="D95" s="227">
        <f>B2</f>
        <v>243.9</v>
      </c>
      <c r="E95" s="69">
        <f t="shared" si="34"/>
        <v>22.250526315789479</v>
      </c>
      <c r="F95" s="71">
        <f t="shared" si="29"/>
        <v>0.26200000000000001</v>
      </c>
      <c r="G95" s="69">
        <f t="shared" si="35"/>
        <v>0.26200000000000001</v>
      </c>
      <c r="H95" s="71">
        <f t="shared" si="30"/>
        <v>0.16200000000000001</v>
      </c>
      <c r="I95" s="72">
        <f t="shared" si="36"/>
        <v>2.8846153846154008E-3</v>
      </c>
      <c r="J95" s="79">
        <f t="shared" si="41"/>
        <v>0.24519230769230788</v>
      </c>
      <c r="K95" s="220">
        <f t="shared" si="37"/>
        <v>245.19230769230788</v>
      </c>
      <c r="L95" s="167">
        <f t="shared" si="38"/>
        <v>0.61832061068702293</v>
      </c>
      <c r="M95" s="70">
        <f t="shared" si="31"/>
        <v>13.611435997400914</v>
      </c>
      <c r="N95" s="70">
        <f t="shared" si="39"/>
        <v>8.2843934911243072E-3</v>
      </c>
      <c r="O95" s="70">
        <f t="shared" si="40"/>
        <v>2.8719230769230766</v>
      </c>
      <c r="P95" s="70">
        <f t="shared" si="32"/>
        <v>4.6476923076923073</v>
      </c>
      <c r="Q95" s="70">
        <f t="shared" si="33"/>
        <v>1.7620673076923075</v>
      </c>
    </row>
    <row r="96" spans="1:17" x14ac:dyDescent="0.2">
      <c r="A96" s="70">
        <f t="shared" si="26"/>
        <v>60</v>
      </c>
      <c r="B96" s="73">
        <f t="shared" si="27"/>
        <v>49.615384615384613</v>
      </c>
      <c r="C96" s="71">
        <f t="shared" si="28"/>
        <v>0.1</v>
      </c>
      <c r="D96" s="227">
        <f>B2</f>
        <v>243.9</v>
      </c>
      <c r="E96" s="69">
        <f t="shared" si="34"/>
        <v>23.486666666666661</v>
      </c>
      <c r="F96" s="71">
        <f t="shared" si="29"/>
        <v>0.26200000000000001</v>
      </c>
      <c r="G96" s="69">
        <f t="shared" si="35"/>
        <v>0.26200000000000001</v>
      </c>
      <c r="H96" s="71">
        <f t="shared" si="30"/>
        <v>0.16200000000000001</v>
      </c>
      <c r="I96" s="72">
        <f t="shared" si="36"/>
        <v>2.8846153846153653E-3</v>
      </c>
      <c r="J96" s="79">
        <f t="shared" si="41"/>
        <v>0.24807692307692325</v>
      </c>
      <c r="K96" s="220">
        <f t="shared" si="37"/>
        <v>248.07692307692324</v>
      </c>
      <c r="L96" s="167">
        <f t="shared" si="38"/>
        <v>0.61832061068702293</v>
      </c>
      <c r="M96" s="70">
        <f t="shared" si="31"/>
        <v>14.374485596707816</v>
      </c>
      <c r="N96" s="70">
        <f t="shared" si="39"/>
        <v>7.8483727810650383E-3</v>
      </c>
      <c r="O96" s="70">
        <f t="shared" si="40"/>
        <v>2.7207692307692315</v>
      </c>
      <c r="P96" s="70">
        <f t="shared" si="32"/>
        <v>4.4030769230769247</v>
      </c>
      <c r="Q96" s="70">
        <f t="shared" si="33"/>
        <v>1.6693269230769234</v>
      </c>
    </row>
    <row r="97" spans="1:17" x14ac:dyDescent="0.2">
      <c r="A97" s="70">
        <f t="shared" si="26"/>
        <v>60</v>
      </c>
      <c r="B97" s="73">
        <f t="shared" si="27"/>
        <v>50.192307692307693</v>
      </c>
      <c r="C97" s="71">
        <f t="shared" si="28"/>
        <v>0.1</v>
      </c>
      <c r="D97" s="227">
        <f>B2</f>
        <v>243.9</v>
      </c>
      <c r="E97" s="69">
        <f t="shared" si="34"/>
        <v>24.86823529411765</v>
      </c>
      <c r="F97" s="71">
        <f t="shared" si="29"/>
        <v>0.26200000000000001</v>
      </c>
      <c r="G97" s="69">
        <f t="shared" si="35"/>
        <v>0.26200000000000001</v>
      </c>
      <c r="H97" s="71">
        <f t="shared" si="30"/>
        <v>0.16200000000000001</v>
      </c>
      <c r="I97" s="72">
        <f t="shared" si="36"/>
        <v>2.8846153846154008E-3</v>
      </c>
      <c r="J97" s="79">
        <f t="shared" si="41"/>
        <v>0.25096153846153862</v>
      </c>
      <c r="K97" s="220">
        <f t="shared" si="37"/>
        <v>250.96153846153862</v>
      </c>
      <c r="L97" s="167">
        <f t="shared" si="38"/>
        <v>0.61832061068702293</v>
      </c>
      <c r="M97" s="70">
        <f t="shared" si="31"/>
        <v>15.22730573710966</v>
      </c>
      <c r="N97" s="70">
        <f t="shared" si="39"/>
        <v>7.4123520710059586E-3</v>
      </c>
      <c r="O97" s="70">
        <f t="shared" si="40"/>
        <v>2.5696153846153846</v>
      </c>
      <c r="P97" s="70">
        <f t="shared" si="32"/>
        <v>4.1584615384615384</v>
      </c>
      <c r="Q97" s="70">
        <f t="shared" si="33"/>
        <v>1.5765865384615383</v>
      </c>
    </row>
    <row r="98" spans="1:17" x14ac:dyDescent="0.2">
      <c r="A98" s="70">
        <f t="shared" si="26"/>
        <v>60</v>
      </c>
      <c r="B98" s="73">
        <f t="shared" si="27"/>
        <v>50.769230769230766</v>
      </c>
      <c r="C98" s="71">
        <f t="shared" si="28"/>
        <v>0.1</v>
      </c>
      <c r="D98" s="227">
        <f>B2</f>
        <v>243.9</v>
      </c>
      <c r="E98" s="69">
        <f t="shared" si="34"/>
        <v>26.422499999999992</v>
      </c>
      <c r="F98" s="71">
        <f t="shared" si="29"/>
        <v>0.26200000000000001</v>
      </c>
      <c r="G98" s="69">
        <f t="shared" si="35"/>
        <v>0.26200000000000001</v>
      </c>
      <c r="H98" s="71">
        <f t="shared" si="30"/>
        <v>0.16200000000000001</v>
      </c>
      <c r="I98" s="72">
        <f t="shared" si="36"/>
        <v>2.8846153846153653E-3</v>
      </c>
      <c r="J98" s="79">
        <f t="shared" si="41"/>
        <v>0.253846153846154</v>
      </c>
      <c r="K98" s="220">
        <f t="shared" si="37"/>
        <v>253.84615384615401</v>
      </c>
      <c r="L98" s="167">
        <f t="shared" si="38"/>
        <v>0.61832061068702293</v>
      </c>
      <c r="M98" s="70">
        <f t="shared" si="31"/>
        <v>16.186728395061724</v>
      </c>
      <c r="N98" s="70">
        <f t="shared" si="39"/>
        <v>6.9763313609467019E-3</v>
      </c>
      <c r="O98" s="70">
        <f t="shared" si="40"/>
        <v>2.4184615384615391</v>
      </c>
      <c r="P98" s="70">
        <f t="shared" si="32"/>
        <v>3.9138461538461553</v>
      </c>
      <c r="Q98" s="70">
        <f t="shared" si="33"/>
        <v>1.4838461538461543</v>
      </c>
    </row>
    <row r="99" spans="1:17" x14ac:dyDescent="0.2">
      <c r="A99" s="70">
        <f t="shared" si="26"/>
        <v>60</v>
      </c>
      <c r="B99" s="73">
        <f t="shared" si="27"/>
        <v>51.346153846153847</v>
      </c>
      <c r="C99" s="71">
        <f t="shared" si="28"/>
        <v>0.1</v>
      </c>
      <c r="D99" s="227">
        <f>B2</f>
        <v>243.9</v>
      </c>
      <c r="E99" s="69">
        <f t="shared" si="34"/>
        <v>28.184000000000001</v>
      </c>
      <c r="F99" s="71">
        <f t="shared" si="29"/>
        <v>0.26200000000000001</v>
      </c>
      <c r="G99" s="69">
        <f t="shared" si="35"/>
        <v>0.26200000000000001</v>
      </c>
      <c r="H99" s="71">
        <f t="shared" si="30"/>
        <v>0.16200000000000001</v>
      </c>
      <c r="I99" s="72">
        <f t="shared" si="36"/>
        <v>2.8846153846154008E-3</v>
      </c>
      <c r="J99" s="79">
        <f t="shared" si="41"/>
        <v>0.25673076923076937</v>
      </c>
      <c r="K99" s="220">
        <f t="shared" si="37"/>
        <v>256.7307692307694</v>
      </c>
      <c r="L99" s="167">
        <f t="shared" si="38"/>
        <v>0.61832061068702293</v>
      </c>
      <c r="M99" s="70">
        <f t="shared" si="31"/>
        <v>17.274074074074072</v>
      </c>
      <c r="N99" s="70">
        <f t="shared" si="39"/>
        <v>6.5403106508876109E-3</v>
      </c>
      <c r="O99" s="70">
        <f t="shared" si="40"/>
        <v>2.2673076923076922</v>
      </c>
      <c r="P99" s="70">
        <f t="shared" si="32"/>
        <v>3.6692307692307695</v>
      </c>
      <c r="Q99" s="70">
        <f t="shared" si="33"/>
        <v>1.3911057692307691</v>
      </c>
    </row>
    <row r="100" spans="1:17" x14ac:dyDescent="0.2">
      <c r="A100" s="70">
        <f t="shared" si="26"/>
        <v>60</v>
      </c>
      <c r="B100" s="73">
        <f t="shared" si="27"/>
        <v>51.923076923076927</v>
      </c>
      <c r="C100" s="71">
        <f t="shared" si="28"/>
        <v>0.1</v>
      </c>
      <c r="D100" s="227">
        <f>B2</f>
        <v>243.9</v>
      </c>
      <c r="E100" s="69">
        <f t="shared" si="34"/>
        <v>30.197142857142872</v>
      </c>
      <c r="F100" s="71">
        <f t="shared" si="29"/>
        <v>0.26200000000000001</v>
      </c>
      <c r="G100" s="69">
        <f t="shared" si="35"/>
        <v>0.26200000000000001</v>
      </c>
      <c r="H100" s="71">
        <f t="shared" si="30"/>
        <v>0.16200000000000001</v>
      </c>
      <c r="I100" s="72">
        <f t="shared" si="36"/>
        <v>2.8846153846154008E-3</v>
      </c>
      <c r="J100" s="79">
        <f t="shared" si="41"/>
        <v>0.25961538461538475</v>
      </c>
      <c r="K100" s="220">
        <f t="shared" si="37"/>
        <v>259.61538461538476</v>
      </c>
      <c r="L100" s="167">
        <f t="shared" si="38"/>
        <v>0.61832061068702293</v>
      </c>
      <c r="M100" s="70">
        <f t="shared" si="31"/>
        <v>18.516754850088194</v>
      </c>
      <c r="N100" s="70">
        <f t="shared" si="39"/>
        <v>6.1042899408284348E-3</v>
      </c>
      <c r="O100" s="70">
        <f t="shared" si="40"/>
        <v>2.1161538461538454</v>
      </c>
      <c r="P100" s="70">
        <f t="shared" si="32"/>
        <v>3.4246153846153833</v>
      </c>
      <c r="Q100" s="70">
        <f t="shared" si="33"/>
        <v>1.298365384615384</v>
      </c>
    </row>
    <row r="101" spans="1:17" x14ac:dyDescent="0.2">
      <c r="A101" s="70">
        <f t="shared" si="26"/>
        <v>60</v>
      </c>
      <c r="B101" s="73">
        <f t="shared" si="27"/>
        <v>52.5</v>
      </c>
      <c r="C101" s="71">
        <f t="shared" si="28"/>
        <v>0.1</v>
      </c>
      <c r="D101" s="227">
        <f>B2</f>
        <v>243.9</v>
      </c>
      <c r="E101" s="69">
        <f t="shared" si="34"/>
        <v>32.520000000000003</v>
      </c>
      <c r="F101" s="71">
        <f t="shared" si="29"/>
        <v>0.26200000000000001</v>
      </c>
      <c r="G101" s="69">
        <f t="shared" si="35"/>
        <v>0.26200000000000001</v>
      </c>
      <c r="H101" s="71">
        <f t="shared" si="30"/>
        <v>0.16200000000000001</v>
      </c>
      <c r="I101" s="72">
        <f t="shared" si="36"/>
        <v>2.8846153846153653E-3</v>
      </c>
      <c r="J101" s="79">
        <f t="shared" si="41"/>
        <v>0.26250000000000012</v>
      </c>
      <c r="K101" s="220">
        <f t="shared" si="37"/>
        <v>262.50000000000011</v>
      </c>
      <c r="L101" s="167">
        <f t="shared" si="38"/>
        <v>0.61832061068702293</v>
      </c>
      <c r="M101" s="70">
        <f t="shared" si="31"/>
        <v>19.950617283950617</v>
      </c>
      <c r="N101" s="70">
        <f t="shared" si="39"/>
        <v>5.6682692307691929E-3</v>
      </c>
      <c r="O101" s="70">
        <f t="shared" si="40"/>
        <v>1.9650000000000001</v>
      </c>
      <c r="P101" s="70">
        <f t="shared" si="32"/>
        <v>3.18</v>
      </c>
      <c r="Q101" s="70">
        <f t="shared" si="33"/>
        <v>1.2056249999999999</v>
      </c>
    </row>
    <row r="102" spans="1:17" x14ac:dyDescent="0.2">
      <c r="A102" s="70">
        <f t="shared" si="26"/>
        <v>60</v>
      </c>
      <c r="B102" s="73">
        <f t="shared" si="27"/>
        <v>53.076923076923073</v>
      </c>
      <c r="C102" s="71">
        <f t="shared" si="28"/>
        <v>0.1</v>
      </c>
      <c r="D102" s="227">
        <f>B2</f>
        <v>243.9</v>
      </c>
      <c r="E102" s="69">
        <f t="shared" si="34"/>
        <v>35.229999999999983</v>
      </c>
      <c r="F102" s="71">
        <f t="shared" si="29"/>
        <v>0.26200000000000001</v>
      </c>
      <c r="G102" s="69">
        <f t="shared" si="35"/>
        <v>0.26200000000000001</v>
      </c>
      <c r="H102" s="71">
        <f t="shared" si="30"/>
        <v>0.16200000000000001</v>
      </c>
      <c r="I102" s="72">
        <f t="shared" si="36"/>
        <v>2.8846153846153653E-3</v>
      </c>
      <c r="J102" s="79">
        <f t="shared" si="41"/>
        <v>0.2653846153846155</v>
      </c>
      <c r="K102" s="220">
        <f t="shared" si="37"/>
        <v>265.38461538461547</v>
      </c>
      <c r="L102" s="167">
        <f t="shared" si="38"/>
        <v>0.61832061068702293</v>
      </c>
      <c r="M102" s="70">
        <f t="shared" si="31"/>
        <v>21.623456790123445</v>
      </c>
      <c r="N102" s="70">
        <f t="shared" si="39"/>
        <v>5.2322485207100273E-3</v>
      </c>
      <c r="O102" s="70">
        <f t="shared" si="40"/>
        <v>1.813846153846155</v>
      </c>
      <c r="P102" s="70">
        <f t="shared" si="32"/>
        <v>2.9353846153846175</v>
      </c>
      <c r="Q102" s="70">
        <f t="shared" si="33"/>
        <v>1.1128846153846161</v>
      </c>
    </row>
    <row r="103" spans="1:17" x14ac:dyDescent="0.2">
      <c r="A103" s="70">
        <f t="shared" si="26"/>
        <v>60</v>
      </c>
      <c r="B103" s="73">
        <f t="shared" si="27"/>
        <v>53.653846153846153</v>
      </c>
      <c r="C103" s="71">
        <f t="shared" si="28"/>
        <v>0.1</v>
      </c>
      <c r="D103" s="227">
        <f>B2</f>
        <v>243.9</v>
      </c>
      <c r="E103" s="69">
        <f t="shared" si="34"/>
        <v>38.43272727272727</v>
      </c>
      <c r="F103" s="71">
        <f t="shared" si="29"/>
        <v>0.26200000000000001</v>
      </c>
      <c r="G103" s="69">
        <f t="shared" si="35"/>
        <v>0.26200000000000001</v>
      </c>
      <c r="H103" s="71">
        <f t="shared" si="30"/>
        <v>0.16200000000000001</v>
      </c>
      <c r="I103" s="72">
        <f t="shared" si="36"/>
        <v>2.8846153846154008E-3</v>
      </c>
      <c r="J103" s="79">
        <f t="shared" si="41"/>
        <v>0.26826923076923087</v>
      </c>
      <c r="K103" s="220">
        <f t="shared" si="37"/>
        <v>268.26923076923089</v>
      </c>
      <c r="L103" s="167">
        <f t="shared" si="38"/>
        <v>0.61832061068702293</v>
      </c>
      <c r="M103" s="70">
        <f t="shared" si="31"/>
        <v>23.600448933782264</v>
      </c>
      <c r="N103" s="70">
        <f t="shared" si="39"/>
        <v>4.7962278106509154E-3</v>
      </c>
      <c r="O103" s="70">
        <f t="shared" si="40"/>
        <v>1.6626923076923079</v>
      </c>
      <c r="P103" s="70">
        <f t="shared" si="32"/>
        <v>2.6907692307692312</v>
      </c>
      <c r="Q103" s="70">
        <f t="shared" si="33"/>
        <v>1.0201442307692308</v>
      </c>
    </row>
    <row r="104" spans="1:17" x14ac:dyDescent="0.2">
      <c r="A104" s="70">
        <f t="shared" si="26"/>
        <v>60</v>
      </c>
      <c r="B104" s="73">
        <f t="shared" si="27"/>
        <v>54.230769230769234</v>
      </c>
      <c r="C104" s="71">
        <f t="shared" si="28"/>
        <v>0.1</v>
      </c>
      <c r="D104" s="227">
        <f>B2</f>
        <v>243.9</v>
      </c>
      <c r="E104" s="69">
        <f t="shared" si="34"/>
        <v>42.276000000000018</v>
      </c>
      <c r="F104" s="71">
        <f t="shared" si="29"/>
        <v>0.26200000000000001</v>
      </c>
      <c r="G104" s="69">
        <f t="shared" si="35"/>
        <v>0.26200000000000001</v>
      </c>
      <c r="H104" s="71">
        <f t="shared" si="30"/>
        <v>0.16200000000000001</v>
      </c>
      <c r="I104" s="72">
        <f t="shared" si="36"/>
        <v>2.8846153846154008E-3</v>
      </c>
      <c r="J104" s="79">
        <f t="shared" si="41"/>
        <v>0.27115384615384625</v>
      </c>
      <c r="K104" s="220">
        <f t="shared" si="37"/>
        <v>271.15384615384625</v>
      </c>
      <c r="L104" s="167">
        <f t="shared" si="38"/>
        <v>0.61832061068702293</v>
      </c>
      <c r="M104" s="70">
        <f t="shared" si="31"/>
        <v>25.972839506172846</v>
      </c>
      <c r="N104" s="70">
        <f t="shared" si="39"/>
        <v>4.3602071005917386E-3</v>
      </c>
      <c r="O104" s="70">
        <f t="shared" si="40"/>
        <v>1.5115384615384608</v>
      </c>
      <c r="P104" s="70">
        <f t="shared" si="32"/>
        <v>2.4461538461538455</v>
      </c>
      <c r="Q104" s="70">
        <f t="shared" si="33"/>
        <v>0.92740384615384575</v>
      </c>
    </row>
    <row r="105" spans="1:17" x14ac:dyDescent="0.2">
      <c r="A105" s="70">
        <f t="shared" si="26"/>
        <v>60</v>
      </c>
      <c r="B105" s="73">
        <f t="shared" si="27"/>
        <v>54.807692307692307</v>
      </c>
      <c r="C105" s="71">
        <f t="shared" si="28"/>
        <v>0.1</v>
      </c>
      <c r="D105" s="227">
        <f>B2</f>
        <v>243.9</v>
      </c>
      <c r="E105" s="69">
        <f t="shared" si="34"/>
        <v>46.973333333333322</v>
      </c>
      <c r="F105" s="71">
        <f t="shared" si="29"/>
        <v>0.26200000000000001</v>
      </c>
      <c r="G105" s="69">
        <f t="shared" si="35"/>
        <v>0.26200000000000001</v>
      </c>
      <c r="H105" s="71">
        <f t="shared" si="30"/>
        <v>0.16200000000000001</v>
      </c>
      <c r="I105" s="72">
        <f t="shared" si="36"/>
        <v>2.8846153846153653E-3</v>
      </c>
      <c r="J105" s="79">
        <f t="shared" si="41"/>
        <v>0.27403846153846162</v>
      </c>
      <c r="K105" s="220">
        <f t="shared" si="37"/>
        <v>274.0384615384616</v>
      </c>
      <c r="L105" s="167">
        <f t="shared" si="38"/>
        <v>0.61832061068702293</v>
      </c>
      <c r="M105" s="70">
        <f t="shared" si="31"/>
        <v>28.872427983539087</v>
      </c>
      <c r="N105" s="70">
        <f t="shared" si="39"/>
        <v>3.9241863905325192E-3</v>
      </c>
      <c r="O105" s="70">
        <f t="shared" si="40"/>
        <v>1.3603846153846157</v>
      </c>
      <c r="P105" s="70">
        <f t="shared" si="32"/>
        <v>2.2015384615384623</v>
      </c>
      <c r="Q105" s="70">
        <f t="shared" si="33"/>
        <v>0.83466346153846172</v>
      </c>
    </row>
    <row r="106" spans="1:17" x14ac:dyDescent="0.2">
      <c r="A106" s="70">
        <f t="shared" ref="A106:A114" si="42">VINMAX</f>
        <v>60</v>
      </c>
      <c r="B106" s="73">
        <f t="shared" ref="B106:B114" si="43">VINMAX*((ROW()-10)/104)</f>
        <v>55.384615384615387</v>
      </c>
      <c r="C106" s="71">
        <f t="shared" ref="C106:C110" si="44">IF(B106&gt;=$H$2,IF($D$2="CC", $G$2, B106/$G$2), 0)</f>
        <v>0.1</v>
      </c>
      <c r="D106" s="227">
        <f>B2</f>
        <v>243.9</v>
      </c>
      <c r="E106" s="69">
        <f t="shared" si="34"/>
        <v>50</v>
      </c>
      <c r="F106" s="71">
        <f t="shared" ref="F106:F110" si="45">I_Cout_ss+C106</f>
        <v>0.26200000000000001</v>
      </c>
      <c r="G106" s="69">
        <f t="shared" si="35"/>
        <v>0.26200000000000001</v>
      </c>
      <c r="H106" s="71">
        <f t="shared" ref="H106:H110" si="46">G106-C106</f>
        <v>0.16200000000000001</v>
      </c>
      <c r="I106" s="72">
        <f t="shared" si="36"/>
        <v>2.8846153846154008E-3</v>
      </c>
      <c r="J106" s="79">
        <f t="shared" si="41"/>
        <v>0.27692307692307699</v>
      </c>
      <c r="K106" s="220">
        <f t="shared" si="37"/>
        <v>276.92307692307702</v>
      </c>
      <c r="L106" s="167">
        <f t="shared" si="38"/>
        <v>0.61832061068702293</v>
      </c>
      <c r="M106" s="70">
        <f t="shared" ref="M106:M114" si="47">1/COUTMAX*(E106/2-C106)*1000</f>
        <v>30.740740740740737</v>
      </c>
      <c r="N106" s="70">
        <f t="shared" si="39"/>
        <v>3.4881656804733913E-3</v>
      </c>
      <c r="O106" s="70">
        <f t="shared" si="40"/>
        <v>1.2092307692307687</v>
      </c>
      <c r="P106" s="70">
        <f t="shared" ref="P106:P114" si="48">(A106-B106)*(I_Cout_ss*$Q$2+C106)</f>
        <v>1.9569230769230761</v>
      </c>
      <c r="Q106" s="70">
        <f t="shared" ref="Q106:Q114" si="49">(A106-B106)*(I_Cout_ss*$R$2+C106)</f>
        <v>0.74192307692307657</v>
      </c>
    </row>
    <row r="107" spans="1:17" x14ac:dyDescent="0.2">
      <c r="A107" s="70">
        <f t="shared" si="42"/>
        <v>60</v>
      </c>
      <c r="B107" s="73">
        <f t="shared" si="43"/>
        <v>55.96153846153846</v>
      </c>
      <c r="C107" s="71">
        <f t="shared" si="44"/>
        <v>0.1</v>
      </c>
      <c r="D107" s="227">
        <f>B2</f>
        <v>243.9</v>
      </c>
      <c r="E107" s="69">
        <f t="shared" si="34"/>
        <v>50</v>
      </c>
      <c r="F107" s="71">
        <f t="shared" si="45"/>
        <v>0.26200000000000001</v>
      </c>
      <c r="G107" s="69">
        <f t="shared" si="35"/>
        <v>0.26200000000000001</v>
      </c>
      <c r="H107" s="71">
        <f t="shared" si="46"/>
        <v>0.16200000000000001</v>
      </c>
      <c r="I107" s="72">
        <f t="shared" ref="I107:I110" si="50">(COUTMAX/1000000)*(B107-B106)/H107</f>
        <v>2.8846153846153653E-3</v>
      </c>
      <c r="J107" s="79">
        <f t="shared" si="41"/>
        <v>0.27980769230769237</v>
      </c>
      <c r="K107" s="220">
        <f t="shared" si="37"/>
        <v>279.80769230769238</v>
      </c>
      <c r="L107" s="167">
        <f t="shared" si="38"/>
        <v>0.61832061068702293</v>
      </c>
      <c r="M107" s="70">
        <f t="shared" si="47"/>
        <v>30.740740740740737</v>
      </c>
      <c r="N107" s="70">
        <f t="shared" si="39"/>
        <v>3.0521449704141823E-3</v>
      </c>
      <c r="O107" s="70">
        <f t="shared" si="40"/>
        <v>1.0580769230769236</v>
      </c>
      <c r="P107" s="70">
        <f t="shared" si="48"/>
        <v>1.7123076923076932</v>
      </c>
      <c r="Q107" s="70">
        <f t="shared" si="49"/>
        <v>0.64918269230769254</v>
      </c>
    </row>
    <row r="108" spans="1:17" x14ac:dyDescent="0.2">
      <c r="A108" s="70">
        <f t="shared" si="42"/>
        <v>60</v>
      </c>
      <c r="B108" s="73">
        <f t="shared" si="43"/>
        <v>56.53846153846154</v>
      </c>
      <c r="C108" s="71">
        <f t="shared" si="44"/>
        <v>0.1</v>
      </c>
      <c r="D108" s="227">
        <f>B2</f>
        <v>243.9</v>
      </c>
      <c r="E108" s="69">
        <f t="shared" si="34"/>
        <v>50</v>
      </c>
      <c r="F108" s="71">
        <f t="shared" si="45"/>
        <v>0.26200000000000001</v>
      </c>
      <c r="G108" s="69">
        <f t="shared" si="35"/>
        <v>0.26200000000000001</v>
      </c>
      <c r="H108" s="71">
        <f t="shared" si="46"/>
        <v>0.16200000000000001</v>
      </c>
      <c r="I108" s="72">
        <f t="shared" si="50"/>
        <v>2.8846153846154008E-3</v>
      </c>
      <c r="J108" s="79">
        <f t="shared" si="41"/>
        <v>0.28269230769230774</v>
      </c>
      <c r="K108" s="220">
        <f t="shared" si="37"/>
        <v>282.69230769230774</v>
      </c>
      <c r="L108" s="167">
        <f t="shared" si="38"/>
        <v>0.61832061068702293</v>
      </c>
      <c r="M108" s="70">
        <f t="shared" si="47"/>
        <v>30.740740740740737</v>
      </c>
      <c r="N108" s="70">
        <f t="shared" si="39"/>
        <v>2.6161242603550431E-3</v>
      </c>
      <c r="O108" s="70">
        <f t="shared" si="40"/>
        <v>0.9069230769230765</v>
      </c>
      <c r="P108" s="70">
        <f t="shared" si="48"/>
        <v>1.4676923076923072</v>
      </c>
      <c r="Q108" s="70">
        <f t="shared" si="49"/>
        <v>0.5564423076923074</v>
      </c>
    </row>
    <row r="109" spans="1:17" x14ac:dyDescent="0.2">
      <c r="A109" s="70">
        <f t="shared" si="42"/>
        <v>60</v>
      </c>
      <c r="B109" s="73">
        <f t="shared" si="43"/>
        <v>57.115384615384613</v>
      </c>
      <c r="C109" s="71">
        <f t="shared" si="44"/>
        <v>0.1</v>
      </c>
      <c r="D109" s="227">
        <f>B2</f>
        <v>243.9</v>
      </c>
      <c r="E109" s="69">
        <f t="shared" si="34"/>
        <v>50</v>
      </c>
      <c r="F109" s="71">
        <f t="shared" si="45"/>
        <v>0.26200000000000001</v>
      </c>
      <c r="G109" s="69">
        <f t="shared" si="35"/>
        <v>0.26200000000000001</v>
      </c>
      <c r="H109" s="71">
        <f t="shared" si="46"/>
        <v>0.16200000000000001</v>
      </c>
      <c r="I109" s="72">
        <f t="shared" si="50"/>
        <v>2.8846153846153653E-3</v>
      </c>
      <c r="J109" s="79">
        <f t="shared" si="41"/>
        <v>0.28557692307692312</v>
      </c>
      <c r="K109" s="220">
        <f t="shared" si="37"/>
        <v>285.57692307692309</v>
      </c>
      <c r="L109" s="167">
        <f t="shared" si="38"/>
        <v>0.61832061068702293</v>
      </c>
      <c r="M109" s="70">
        <f t="shared" si="47"/>
        <v>30.740740740740737</v>
      </c>
      <c r="N109" s="70">
        <f t="shared" si="39"/>
        <v>2.1801035502958454E-3</v>
      </c>
      <c r="O109" s="70">
        <f t="shared" si="40"/>
        <v>0.75576923076923141</v>
      </c>
      <c r="P109" s="70">
        <f t="shared" si="48"/>
        <v>1.2230769230769241</v>
      </c>
      <c r="Q109" s="70">
        <f t="shared" si="49"/>
        <v>0.46370192307692343</v>
      </c>
    </row>
    <row r="110" spans="1:17" x14ac:dyDescent="0.2">
      <c r="A110" s="70">
        <f t="shared" si="42"/>
        <v>60</v>
      </c>
      <c r="B110" s="73">
        <f t="shared" si="43"/>
        <v>57.692307692307693</v>
      </c>
      <c r="C110" s="71">
        <f t="shared" si="44"/>
        <v>0.1</v>
      </c>
      <c r="D110" s="227">
        <f>B2</f>
        <v>243.9</v>
      </c>
      <c r="E110" s="69">
        <f t="shared" si="34"/>
        <v>50</v>
      </c>
      <c r="F110" s="71">
        <f t="shared" si="45"/>
        <v>0.26200000000000001</v>
      </c>
      <c r="G110" s="69">
        <f t="shared" si="35"/>
        <v>0.26200000000000001</v>
      </c>
      <c r="H110" s="71">
        <f t="shared" si="46"/>
        <v>0.16200000000000001</v>
      </c>
      <c r="I110" s="72">
        <f t="shared" si="50"/>
        <v>2.8846153846154008E-3</v>
      </c>
      <c r="J110" s="79">
        <f t="shared" si="41"/>
        <v>0.28846153846153849</v>
      </c>
      <c r="K110" s="220">
        <f t="shared" si="37"/>
        <v>288.46153846153851</v>
      </c>
      <c r="L110" s="167">
        <f t="shared" si="38"/>
        <v>0.61832061068702293</v>
      </c>
      <c r="M110" s="70">
        <f t="shared" si="47"/>
        <v>30.740740740740737</v>
      </c>
      <c r="N110" s="70">
        <f t="shared" si="39"/>
        <v>1.7440828402366956E-3</v>
      </c>
      <c r="O110" s="70">
        <f t="shared" si="40"/>
        <v>0.60461538461538433</v>
      </c>
      <c r="P110" s="70">
        <f t="shared" si="48"/>
        <v>0.97846153846153805</v>
      </c>
      <c r="Q110" s="70">
        <f t="shared" si="49"/>
        <v>0.37096153846153829</v>
      </c>
    </row>
    <row r="111" spans="1:17" x14ac:dyDescent="0.2">
      <c r="A111" s="70">
        <f t="shared" si="42"/>
        <v>60</v>
      </c>
      <c r="B111" s="73">
        <f t="shared" si="43"/>
        <v>58.269230769230766</v>
      </c>
      <c r="C111" s="71">
        <f>IF(B111&gt;=$H$2,IF($D$2="CC", $G$2, B111/$G$2), 0)</f>
        <v>0.1</v>
      </c>
      <c r="D111" s="227">
        <f>B2</f>
        <v>243.9</v>
      </c>
      <c r="E111" s="69">
        <f>$C$2</f>
        <v>50</v>
      </c>
      <c r="F111" s="71">
        <f>I_Cout_ss+C111</f>
        <v>0.26200000000000001</v>
      </c>
      <c r="G111" s="69">
        <f>IF($F$2="YES", F111, E111)</f>
        <v>0.26200000000000001</v>
      </c>
      <c r="H111" s="71">
        <f>G111-C111</f>
        <v>0.16200000000000001</v>
      </c>
      <c r="I111" s="72">
        <f>(COUTMAX/1000000)*(B111-B110)/H111</f>
        <v>2.8846153846153653E-3</v>
      </c>
      <c r="J111" s="79">
        <f>J110+I111</f>
        <v>0.29134615384615387</v>
      </c>
      <c r="K111" s="220">
        <f t="shared" si="37"/>
        <v>291.34615384615387</v>
      </c>
      <c r="L111" s="167">
        <f>H111/G111</f>
        <v>0.61832061068702293</v>
      </c>
      <c r="M111" s="70">
        <f t="shared" si="47"/>
        <v>30.740740740740737</v>
      </c>
      <c r="N111" s="70">
        <f>I111*G111*(A111-B111)</f>
        <v>1.3080621301775081E-3</v>
      </c>
      <c r="O111" s="70">
        <f t="shared" si="40"/>
        <v>0.45346153846153919</v>
      </c>
      <c r="P111" s="70">
        <f t="shared" si="48"/>
        <v>0.73384615384615504</v>
      </c>
      <c r="Q111" s="70">
        <f t="shared" si="49"/>
        <v>0.27822115384615431</v>
      </c>
    </row>
    <row r="112" spans="1:17" x14ac:dyDescent="0.2">
      <c r="A112" s="70">
        <f t="shared" si="42"/>
        <v>60</v>
      </c>
      <c r="B112" s="73">
        <f t="shared" si="43"/>
        <v>58.846153846153847</v>
      </c>
      <c r="C112" s="71">
        <f>IF(B112&gt;=$H$2,IF($D$2="CC", $G$2, B112/$G$2), 0)</f>
        <v>0.1</v>
      </c>
      <c r="D112" s="227">
        <f>B2</f>
        <v>243.9</v>
      </c>
      <c r="E112" s="69">
        <f>$C$2</f>
        <v>50</v>
      </c>
      <c r="F112" s="71">
        <f t="shared" ref="F112:F113" si="51">I_Cout_ss+C112</f>
        <v>0.26200000000000001</v>
      </c>
      <c r="G112" s="69">
        <f t="shared" ref="G112:G113" si="52">IF($F$2="YES", F112, E112)</f>
        <v>0.26200000000000001</v>
      </c>
      <c r="H112" s="71">
        <f t="shared" ref="H112:H113" si="53">G112-C112</f>
        <v>0.16200000000000001</v>
      </c>
      <c r="I112" s="72">
        <f t="shared" ref="I112:I113" si="54">(COUTMAX/1000000)*(B112-B111)/H112</f>
        <v>2.8846153846154008E-3</v>
      </c>
      <c r="J112" s="79">
        <f t="shared" ref="J112:J113" si="55">J111+I112</f>
        <v>0.29423076923076924</v>
      </c>
      <c r="K112" s="220">
        <f t="shared" si="37"/>
        <v>294.23076923076923</v>
      </c>
      <c r="L112" s="167">
        <f t="shared" ref="L112:L113" si="56">H112/G112</f>
        <v>0.61832061068702293</v>
      </c>
      <c r="M112" s="70">
        <f t="shared" si="47"/>
        <v>30.740740740740737</v>
      </c>
      <c r="N112" s="70">
        <f t="shared" ref="N112:N113" si="57">I112*G112*(A112-B112)</f>
        <v>8.7204142011834782E-4</v>
      </c>
      <c r="O112" s="70">
        <f t="shared" si="40"/>
        <v>0.30230769230769217</v>
      </c>
      <c r="P112" s="70">
        <f t="shared" si="48"/>
        <v>0.48923076923076902</v>
      </c>
      <c r="Q112" s="70">
        <f t="shared" si="49"/>
        <v>0.18548076923076914</v>
      </c>
    </row>
    <row r="113" spans="1:17" x14ac:dyDescent="0.2">
      <c r="A113" s="70">
        <f t="shared" si="42"/>
        <v>60</v>
      </c>
      <c r="B113" s="73">
        <f t="shared" si="43"/>
        <v>59.423076923076927</v>
      </c>
      <c r="C113" s="71">
        <f>IF(B113&gt;=$H$2,IF($D$2="CC", $G$2, B113/$G$2), 0)</f>
        <v>0.1</v>
      </c>
      <c r="D113" s="227">
        <f>B2</f>
        <v>243.9</v>
      </c>
      <c r="E113" s="69">
        <f>$C$2</f>
        <v>50</v>
      </c>
      <c r="F113" s="71">
        <f t="shared" si="51"/>
        <v>0.26200000000000001</v>
      </c>
      <c r="G113" s="69">
        <f t="shared" si="52"/>
        <v>0.26200000000000001</v>
      </c>
      <c r="H113" s="71">
        <f t="shared" si="53"/>
        <v>0.16200000000000001</v>
      </c>
      <c r="I113" s="72">
        <f t="shared" si="54"/>
        <v>2.8846153846154008E-3</v>
      </c>
      <c r="J113" s="79">
        <f t="shared" si="55"/>
        <v>0.29711538461538461</v>
      </c>
      <c r="K113" s="220">
        <f t="shared" si="37"/>
        <v>297.11538461538464</v>
      </c>
      <c r="L113" s="167">
        <f t="shared" si="56"/>
        <v>0.61832061068702293</v>
      </c>
      <c r="M113" s="70">
        <f t="shared" si="47"/>
        <v>30.740740740740737</v>
      </c>
      <c r="N113" s="70">
        <f t="shared" si="57"/>
        <v>4.360207100591712E-4</v>
      </c>
      <c r="O113" s="70">
        <f t="shared" si="40"/>
        <v>0.15115384615384517</v>
      </c>
      <c r="P113" s="70">
        <f t="shared" si="48"/>
        <v>0.24461538461538301</v>
      </c>
      <c r="Q113" s="70">
        <f t="shared" si="49"/>
        <v>9.2740384615384003E-2</v>
      </c>
    </row>
    <row r="114" spans="1:17" x14ac:dyDescent="0.2">
      <c r="A114" s="70">
        <f t="shared" si="42"/>
        <v>60</v>
      </c>
      <c r="B114" s="73">
        <f t="shared" si="43"/>
        <v>60</v>
      </c>
      <c r="C114" s="71">
        <f>IF(B114&gt;=$H$2,IF($D$2="CC", $G$2, B114/$G$2), 0)</f>
        <v>0.1</v>
      </c>
      <c r="D114" s="227">
        <f>B2</f>
        <v>243.9</v>
      </c>
      <c r="E114" s="69">
        <f>$C$2</f>
        <v>50</v>
      </c>
      <c r="F114" s="71">
        <f t="shared" ref="F114" si="58">I_Cout_ss+C114</f>
        <v>0.26200000000000001</v>
      </c>
      <c r="G114" s="69">
        <f t="shared" ref="G114" si="59">IF($F$2="YES", F114, E114)</f>
        <v>0.26200000000000001</v>
      </c>
      <c r="H114" s="71">
        <f t="shared" ref="H114" si="60">G114-C114</f>
        <v>0.16200000000000001</v>
      </c>
      <c r="I114" s="72">
        <f t="shared" ref="I114" si="61">(COUTMAX/1000000)*(B114-B113)/H114</f>
        <v>2.8846153846153653E-3</v>
      </c>
      <c r="J114" s="79">
        <f t="shared" ref="J114" si="62">J113+I114</f>
        <v>0.3</v>
      </c>
      <c r="K114" s="220">
        <f t="shared" si="37"/>
        <v>300</v>
      </c>
      <c r="L114" s="167">
        <f t="shared" ref="L114" si="63">H114/G114</f>
        <v>0.61832061068702293</v>
      </c>
      <c r="M114" s="70">
        <f t="shared" si="47"/>
        <v>30.740740740740737</v>
      </c>
      <c r="N114" s="70">
        <f t="shared" ref="N114" si="64">I114*G114*(A114-B114)</f>
        <v>0</v>
      </c>
      <c r="O114" s="70">
        <f t="shared" si="40"/>
        <v>0</v>
      </c>
      <c r="P114" s="70">
        <f t="shared" si="48"/>
        <v>0</v>
      </c>
      <c r="Q114" s="70">
        <f t="shared" si="49"/>
        <v>0</v>
      </c>
    </row>
    <row r="115" spans="1:17" x14ac:dyDescent="0.2">
      <c r="K115" s="221">
        <f>K114+0.5</f>
        <v>300.5</v>
      </c>
      <c r="N115" s="70">
        <v>0</v>
      </c>
      <c r="O115" s="70">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zoomScale="85" zoomScaleNormal="85" workbookViewId="0">
      <selection activeCell="E34" sqref="E34"/>
    </sheetView>
  </sheetViews>
  <sheetFormatPr defaultRowHeight="12.75" x14ac:dyDescent="0.2"/>
  <cols>
    <col min="1" max="1" width="19.7109375" customWidth="1"/>
    <col min="2" max="2" width="17.2851562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C1" s="9"/>
      <c r="D1" s="9"/>
      <c r="E1" s="9"/>
      <c r="F1" s="9"/>
      <c r="G1" s="9"/>
    </row>
    <row r="2" spans="1:22" x14ac:dyDescent="0.2">
      <c r="A2" s="82"/>
      <c r="B2" s="212"/>
      <c r="C2" s="321" t="s">
        <v>175</v>
      </c>
      <c r="D2" s="322"/>
      <c r="E2" s="323"/>
      <c r="F2" s="218"/>
      <c r="G2" s="218"/>
      <c r="H2" s="33" t="s">
        <v>196</v>
      </c>
      <c r="I2" s="9"/>
      <c r="J2" s="9"/>
      <c r="K2" s="9"/>
      <c r="L2" s="9"/>
      <c r="M2" s="9"/>
      <c r="N2" s="9"/>
      <c r="O2" s="83"/>
      <c r="P2" s="83"/>
      <c r="Q2" s="83"/>
      <c r="R2" s="83"/>
      <c r="S2" s="83"/>
      <c r="T2" s="83"/>
      <c r="U2" s="9"/>
      <c r="V2" s="9"/>
    </row>
    <row r="3" spans="1:22" x14ac:dyDescent="0.2">
      <c r="A3" s="82"/>
      <c r="B3" s="84" t="s">
        <v>232</v>
      </c>
      <c r="C3" s="84" t="s">
        <v>176</v>
      </c>
      <c r="D3" s="84" t="s">
        <v>177</v>
      </c>
      <c r="E3" s="84" t="s">
        <v>178</v>
      </c>
      <c r="F3" s="213" t="s">
        <v>378</v>
      </c>
      <c r="G3" s="89"/>
      <c r="H3" s="33" t="s">
        <v>194</v>
      </c>
      <c r="I3" s="218"/>
      <c r="J3" s="218"/>
      <c r="K3" s="218"/>
      <c r="L3" s="218"/>
      <c r="M3" s="218"/>
      <c r="N3" s="9"/>
      <c r="O3" s="218"/>
      <c r="P3" s="218"/>
      <c r="Q3" s="86"/>
      <c r="R3" s="86"/>
      <c r="S3" s="86"/>
      <c r="T3" s="86"/>
      <c r="U3" s="9"/>
      <c r="V3" s="9"/>
    </row>
    <row r="4" spans="1:22" ht="21.6" customHeight="1" x14ac:dyDescent="0.2">
      <c r="A4" s="84" t="s">
        <v>179</v>
      </c>
      <c r="B4" s="82">
        <f>'Design Calculator'!AN40</f>
        <v>120</v>
      </c>
      <c r="C4" s="87">
        <f>'Design Calculator'!$AN$41</f>
        <v>7</v>
      </c>
      <c r="D4" s="87">
        <f>'Design Calculator'!$AN$42</f>
        <v>2</v>
      </c>
      <c r="E4" s="87">
        <f>IF('Design Calculator'!$AN$43 = "NA", F4, 'Design Calculator'!$AN$43)</f>
        <v>0.7</v>
      </c>
      <c r="F4" s="87">
        <f>'Design Calculator'!AN44</f>
        <v>0.7</v>
      </c>
      <c r="G4" s="92"/>
      <c r="H4" s="33" t="s">
        <v>195</v>
      </c>
      <c r="I4" s="218"/>
      <c r="J4" s="218"/>
      <c r="K4" s="218"/>
      <c r="L4" s="267"/>
      <c r="M4" s="267"/>
      <c r="N4" s="9"/>
      <c r="O4" s="218"/>
      <c r="P4" s="218"/>
      <c r="Q4" s="86"/>
      <c r="R4" s="86"/>
      <c r="S4" s="86"/>
      <c r="T4" s="86"/>
      <c r="U4" s="9"/>
      <c r="V4" s="9"/>
    </row>
    <row r="5" spans="1:22" x14ac:dyDescent="0.2">
      <c r="A5" s="9"/>
      <c r="C5" s="218"/>
      <c r="D5" s="267"/>
      <c r="E5" s="267"/>
      <c r="F5" s="267"/>
      <c r="G5" s="267"/>
      <c r="H5" s="9"/>
      <c r="I5" s="218"/>
      <c r="J5" s="218"/>
      <c r="K5" s="218"/>
      <c r="L5" s="267"/>
      <c r="M5" s="267"/>
      <c r="N5" s="324"/>
      <c r="O5" s="324"/>
      <c r="P5" s="324"/>
      <c r="Q5" s="86"/>
      <c r="R5" s="325"/>
      <c r="S5" s="326"/>
      <c r="T5" s="326"/>
      <c r="U5" s="9"/>
      <c r="V5" s="9"/>
    </row>
    <row r="6" spans="1:22" x14ac:dyDescent="0.2">
      <c r="A6" s="9"/>
      <c r="C6" s="218"/>
      <c r="D6" s="267"/>
      <c r="E6" s="267"/>
      <c r="F6" s="267"/>
      <c r="G6" s="267"/>
      <c r="H6" s="9"/>
      <c r="I6" s="218"/>
      <c r="J6" s="218"/>
      <c r="K6" s="218"/>
      <c r="L6" s="267"/>
      <c r="M6" s="267"/>
      <c r="N6" s="9"/>
      <c r="O6" s="89"/>
      <c r="P6" s="9"/>
      <c r="Q6" s="9"/>
      <c r="R6" s="9"/>
      <c r="S6" s="9"/>
      <c r="T6" s="9"/>
      <c r="U6" s="9"/>
      <c r="V6" s="9"/>
    </row>
    <row r="7" spans="1:22" ht="15" x14ac:dyDescent="0.25">
      <c r="A7" s="9"/>
      <c r="B7" s="90" t="s">
        <v>373</v>
      </c>
      <c r="G7" s="199" t="s">
        <v>360</v>
      </c>
      <c r="H7" s="9"/>
      <c r="J7" s="266"/>
      <c r="K7" s="267"/>
      <c r="L7" s="9"/>
      <c r="M7" s="9"/>
      <c r="N7" s="89"/>
      <c r="O7" s="89"/>
      <c r="P7" s="89"/>
      <c r="Q7" s="9"/>
      <c r="R7" s="9"/>
      <c r="S7" s="9"/>
      <c r="T7" s="91"/>
      <c r="U7" s="85"/>
      <c r="V7" s="9"/>
    </row>
    <row r="8" spans="1:22" ht="15" x14ac:dyDescent="0.25">
      <c r="A8" s="9"/>
      <c r="B8" s="33" t="s">
        <v>180</v>
      </c>
      <c r="C8">
        <f>IF('Design Calculator'!F55="No", 'Design Calculator'!$F$61,'Design Calculator'!F74)</f>
        <v>0.52</v>
      </c>
      <c r="D8" s="33" t="s">
        <v>8</v>
      </c>
      <c r="G8" s="33" t="s">
        <v>180</v>
      </c>
      <c r="H8">
        <f>Equations!F60</f>
        <v>154.56730769230768</v>
      </c>
      <c r="J8" s="95"/>
      <c r="K8" s="267"/>
      <c r="L8" s="9"/>
      <c r="M8" s="9"/>
      <c r="N8" s="89"/>
      <c r="O8" s="9"/>
      <c r="P8" s="91"/>
      <c r="Q8" s="9"/>
      <c r="R8" s="9"/>
      <c r="S8" s="9"/>
      <c r="T8" s="91"/>
      <c r="U8" s="85"/>
      <c r="V8" s="9"/>
    </row>
    <row r="9" spans="1:22" ht="15" x14ac:dyDescent="0.25">
      <c r="A9" s="9"/>
      <c r="B9" s="33" t="s">
        <v>181</v>
      </c>
      <c r="C9">
        <f>VINMAX</f>
        <v>60</v>
      </c>
      <c r="D9" t="s">
        <v>86</v>
      </c>
      <c r="G9" s="33" t="s">
        <v>181</v>
      </c>
      <c r="H9">
        <f>VINMAX</f>
        <v>60</v>
      </c>
      <c r="K9" s="267"/>
      <c r="L9" s="9"/>
      <c r="M9" s="9"/>
      <c r="N9" s="89"/>
      <c r="O9" s="9"/>
      <c r="P9" s="91"/>
      <c r="Q9" s="9"/>
      <c r="R9" s="9"/>
      <c r="S9" s="9"/>
      <c r="T9" s="91"/>
      <c r="U9" s="9"/>
      <c r="V9" s="9"/>
    </row>
    <row r="10" spans="1:22" ht="15" x14ac:dyDescent="0.25">
      <c r="A10" s="9"/>
      <c r="B10" s="33" t="s">
        <v>182</v>
      </c>
      <c r="C10">
        <f>IF(C8&lt;10, IF(C8&lt;1, 0.1, 1), IF(C8&lt;100, 10, 100))</f>
        <v>0.1</v>
      </c>
      <c r="D10" s="33" t="s">
        <v>8</v>
      </c>
      <c r="G10" s="33" t="s">
        <v>182</v>
      </c>
      <c r="H10">
        <f>IF(H8&lt;10, IF(H8&lt;1, 0.1, 1), IF(H8&lt;100, 10, 100))</f>
        <v>100</v>
      </c>
      <c r="K10" s="267"/>
      <c r="L10" s="9"/>
      <c r="M10" s="9"/>
      <c r="N10" s="89"/>
      <c r="O10" s="9"/>
      <c r="P10" s="91"/>
      <c r="Q10" s="9"/>
      <c r="R10" s="9"/>
      <c r="S10" s="9"/>
      <c r="T10" s="91"/>
      <c r="U10" s="9"/>
      <c r="V10" s="9"/>
    </row>
    <row r="11" spans="1:22" ht="15" x14ac:dyDescent="0.25">
      <c r="A11" s="269"/>
      <c r="B11" s="271" t="s">
        <v>469</v>
      </c>
      <c r="C11" s="268">
        <f>IF('Design Calculator'!F43="NA", MIN(SOA!C10,1),SOA!C10)</f>
        <v>0.1</v>
      </c>
      <c r="D11" s="270"/>
      <c r="E11" s="268"/>
      <c r="F11" s="268"/>
      <c r="G11" s="33" t="s">
        <v>469</v>
      </c>
      <c r="H11">
        <f>IF('Design Calculator'!F43="NA", MIN(SOA!H10,1),SOA!H10)</f>
        <v>1</v>
      </c>
      <c r="K11" s="267"/>
      <c r="L11" s="9"/>
      <c r="M11" s="9"/>
      <c r="N11" s="9"/>
      <c r="O11" s="9"/>
      <c r="P11" s="91"/>
      <c r="Q11" s="9"/>
      <c r="R11" s="9"/>
      <c r="S11" s="9"/>
      <c r="T11" s="9"/>
      <c r="U11" s="9"/>
      <c r="V11" s="9"/>
    </row>
    <row r="12" spans="1:22" x14ac:dyDescent="0.2">
      <c r="A12" s="9"/>
      <c r="B12" s="33" t="s">
        <v>183</v>
      </c>
      <c r="C12">
        <f>C10*10</f>
        <v>1</v>
      </c>
      <c r="D12" s="33" t="s">
        <v>8</v>
      </c>
      <c r="G12" s="33" t="s">
        <v>451</v>
      </c>
      <c r="H12">
        <f>H10*10</f>
        <v>1000</v>
      </c>
      <c r="K12" s="267"/>
      <c r="L12" s="9"/>
      <c r="M12" s="9"/>
      <c r="N12" s="9"/>
      <c r="O12" s="9"/>
      <c r="P12" s="9"/>
      <c r="Q12" s="9"/>
      <c r="R12" s="9"/>
      <c r="S12" s="9"/>
      <c r="T12" s="9"/>
      <c r="U12" s="9"/>
      <c r="V12" s="9"/>
    </row>
    <row r="13" spans="1:22" x14ac:dyDescent="0.2">
      <c r="A13" s="269"/>
      <c r="B13" s="273" t="s">
        <v>470</v>
      </c>
      <c r="C13" s="268">
        <f>IF('Design Calculator'!F44="NA", MIN(SOA!C12,10),SOA!C12)</f>
        <v>1</v>
      </c>
      <c r="D13" s="270"/>
      <c r="E13" s="268"/>
      <c r="F13" s="268"/>
      <c r="G13" s="33" t="s">
        <v>470</v>
      </c>
      <c r="H13">
        <f>IF('Design Calculator'!F44="NA", MIN(SOA!H12,10),SOA!H12)</f>
        <v>1000</v>
      </c>
      <c r="K13" s="267"/>
      <c r="L13" s="9"/>
      <c r="M13" s="9"/>
      <c r="N13" s="9"/>
      <c r="O13" s="9"/>
      <c r="P13" s="9"/>
      <c r="Q13" s="9"/>
      <c r="R13" s="9"/>
      <c r="S13" s="9"/>
      <c r="T13" s="9"/>
      <c r="U13" s="9"/>
      <c r="V13" s="9"/>
    </row>
    <row r="14" spans="1:22" x14ac:dyDescent="0.2">
      <c r="A14" s="9"/>
      <c r="B14" s="33" t="s">
        <v>184</v>
      </c>
      <c r="C14">
        <f>IF(C10=0.1, B4, IF(C10=1, C4, IF(C10=10, D4, E4)))</f>
        <v>120</v>
      </c>
      <c r="D14" s="33" t="s">
        <v>25</v>
      </c>
      <c r="G14" s="33" t="s">
        <v>184</v>
      </c>
      <c r="H14">
        <f>IF(H11=0.1, B4, IF(H11=1, C4, IF(H11=10, D4, E4)))</f>
        <v>7</v>
      </c>
      <c r="K14" s="267"/>
      <c r="L14" s="9"/>
      <c r="M14" s="9"/>
      <c r="N14" s="9"/>
      <c r="O14" s="9"/>
      <c r="P14" s="9"/>
      <c r="Q14" s="9"/>
      <c r="R14" s="9"/>
      <c r="S14" s="9"/>
      <c r="T14" s="9"/>
      <c r="U14" s="9"/>
      <c r="V14" s="9"/>
    </row>
    <row r="15" spans="1:22" x14ac:dyDescent="0.2">
      <c r="A15" s="9"/>
      <c r="B15" s="33" t="s">
        <v>185</v>
      </c>
      <c r="C15">
        <f>IF(C12=1000, F4, IF(C12=1, C4, IF(C12=10, D4, E4)))</f>
        <v>7</v>
      </c>
      <c r="D15" s="33" t="s">
        <v>25</v>
      </c>
      <c r="G15" s="33" t="s">
        <v>185</v>
      </c>
      <c r="H15">
        <f>IF(H13=1000, F4, IF(H13=1, C4, IF(H13=10, D4, E4)))</f>
        <v>0.7</v>
      </c>
      <c r="K15" s="267"/>
      <c r="L15" s="9"/>
      <c r="M15" s="9"/>
      <c r="N15" s="9"/>
      <c r="O15" s="9"/>
      <c r="P15" s="9"/>
      <c r="Q15" s="9"/>
      <c r="R15" s="9"/>
      <c r="S15" s="9"/>
      <c r="T15" s="9"/>
      <c r="U15" s="9"/>
      <c r="V15" s="9"/>
    </row>
    <row r="16" spans="1:22" x14ac:dyDescent="0.2">
      <c r="A16" s="9"/>
      <c r="K16" s="267"/>
      <c r="L16" s="9"/>
      <c r="M16" s="9"/>
      <c r="N16" s="9"/>
      <c r="O16" s="9"/>
      <c r="P16" s="9"/>
      <c r="Q16" s="9"/>
      <c r="R16" s="9"/>
      <c r="S16" s="9"/>
      <c r="T16" s="9"/>
      <c r="U16" s="9"/>
      <c r="V16" s="9"/>
    </row>
    <row r="17" spans="1:22" x14ac:dyDescent="0.2">
      <c r="A17" s="9"/>
      <c r="B17" s="33" t="s">
        <v>189</v>
      </c>
      <c r="G17" s="33" t="s">
        <v>189</v>
      </c>
      <c r="K17" s="267"/>
      <c r="L17" s="9"/>
      <c r="M17" s="9"/>
      <c r="N17" s="9"/>
      <c r="O17" s="9"/>
      <c r="P17" s="9"/>
      <c r="Q17" s="9"/>
      <c r="R17" s="9"/>
      <c r="S17" s="9"/>
      <c r="T17" s="9"/>
      <c r="U17" s="9"/>
      <c r="V17" s="9"/>
    </row>
    <row r="18" spans="1:22" x14ac:dyDescent="0.2">
      <c r="A18" s="9"/>
      <c r="B18" s="33" t="s">
        <v>186</v>
      </c>
      <c r="C18" s="272">
        <f>C14/C11^C19</f>
        <v>7.0000000000000036</v>
      </c>
      <c r="F18" s="33"/>
      <c r="G18" s="33" t="s">
        <v>186</v>
      </c>
      <c r="H18">
        <f>H14/H11^H19</f>
        <v>7</v>
      </c>
      <c r="O18" s="242"/>
      <c r="P18" s="242"/>
      <c r="Q18" s="9"/>
      <c r="R18" s="9"/>
      <c r="S18" s="9"/>
      <c r="T18" s="9"/>
      <c r="U18" s="9"/>
      <c r="V18" s="9"/>
    </row>
    <row r="19" spans="1:22" x14ac:dyDescent="0.2">
      <c r="A19" s="9"/>
      <c r="B19" s="33" t="s">
        <v>187</v>
      </c>
      <c r="C19">
        <f>LOG(C14/C15)/LOG(C11/C13)</f>
        <v>-1.234083206033368</v>
      </c>
      <c r="F19" s="33"/>
      <c r="G19" s="33" t="s">
        <v>187</v>
      </c>
      <c r="H19">
        <f>IF(H14=H15,0.000000000001,LOG(H14/H15)/LOG(H11/H13))</f>
        <v>-0.33333333333333331</v>
      </c>
      <c r="I19" s="33" t="s">
        <v>459</v>
      </c>
      <c r="K19" s="267"/>
      <c r="L19" s="9"/>
      <c r="M19" s="242"/>
      <c r="N19" s="242"/>
      <c r="O19" s="9"/>
      <c r="P19" s="9"/>
      <c r="Q19" s="9"/>
      <c r="R19" s="9"/>
      <c r="S19" s="9"/>
      <c r="T19" s="9"/>
      <c r="U19" s="9"/>
      <c r="V19" s="9"/>
    </row>
    <row r="20" spans="1:22" x14ac:dyDescent="0.2">
      <c r="A20" s="9"/>
      <c r="B20" s="33" t="s">
        <v>188</v>
      </c>
      <c r="C20">
        <f>C18*C8^C19</f>
        <v>15.688215422326596</v>
      </c>
      <c r="D20" s="33" t="s">
        <v>25</v>
      </c>
      <c r="G20" s="33" t="s">
        <v>188</v>
      </c>
      <c r="H20">
        <f>H18*H8^H19</f>
        <v>1.3043440434848219</v>
      </c>
      <c r="K20" s="267"/>
      <c r="L20" s="9"/>
      <c r="M20" s="89"/>
      <c r="N20" s="9"/>
      <c r="O20" s="9"/>
      <c r="P20" s="9"/>
      <c r="Q20" s="9"/>
      <c r="R20" s="9"/>
      <c r="S20" s="9"/>
      <c r="T20" s="9"/>
      <c r="U20" s="9"/>
      <c r="V20" s="9"/>
    </row>
    <row r="21" spans="1:22" x14ac:dyDescent="0.2">
      <c r="A21" s="9"/>
      <c r="K21" s="267"/>
      <c r="L21" s="9"/>
      <c r="M21" s="9"/>
      <c r="N21" s="218"/>
      <c r="O21" s="9"/>
      <c r="P21" s="9"/>
      <c r="Q21" s="9"/>
      <c r="R21" s="9"/>
      <c r="S21" s="9"/>
      <c r="T21" s="9"/>
      <c r="U21" s="9"/>
      <c r="V21" s="9"/>
    </row>
    <row r="22" spans="1:22" x14ac:dyDescent="0.2">
      <c r="A22" s="9"/>
      <c r="B22" s="34" t="s">
        <v>191</v>
      </c>
      <c r="C22">
        <f xml:space="preserve"> C20*C9</f>
        <v>941.29292533959574</v>
      </c>
      <c r="D22" s="33"/>
      <c r="G22" s="34" t="s">
        <v>191</v>
      </c>
      <c r="H22">
        <f>IF(H8&lt;1, H14, H20)*H9</f>
        <v>78.260642609089317</v>
      </c>
      <c r="K22" s="267"/>
      <c r="L22" s="9"/>
      <c r="M22" s="9"/>
      <c r="N22" s="9"/>
      <c r="O22" s="9"/>
      <c r="P22" s="9"/>
      <c r="Q22" s="9"/>
      <c r="R22" s="9"/>
      <c r="S22" s="9"/>
      <c r="T22" s="9"/>
      <c r="U22" s="9"/>
      <c r="V22" s="9"/>
    </row>
    <row r="23" spans="1:22" x14ac:dyDescent="0.2">
      <c r="A23" s="9"/>
      <c r="K23" s="267"/>
      <c r="L23" s="9"/>
      <c r="M23" s="9"/>
      <c r="N23" s="9"/>
      <c r="O23" s="9"/>
      <c r="P23" s="9"/>
      <c r="Q23" s="9"/>
      <c r="R23" s="9"/>
      <c r="S23" s="9"/>
      <c r="T23" s="9"/>
      <c r="U23" s="9"/>
      <c r="V23" s="9"/>
    </row>
    <row r="24" spans="1:22" x14ac:dyDescent="0.2">
      <c r="A24" s="9"/>
      <c r="G24" s="33" t="s">
        <v>381</v>
      </c>
      <c r="H24" t="str">
        <f>'Design Calculator'!F63</f>
        <v>Yes</v>
      </c>
      <c r="K24" s="267"/>
      <c r="L24" s="9"/>
      <c r="M24" s="9"/>
      <c r="N24" s="9"/>
      <c r="O24" s="218"/>
      <c r="P24" s="9"/>
      <c r="Q24" s="9"/>
      <c r="R24" s="9"/>
      <c r="S24" s="9"/>
      <c r="T24" s="9"/>
      <c r="U24" s="9"/>
      <c r="V24" s="9"/>
    </row>
    <row r="25" spans="1:22" x14ac:dyDescent="0.2">
      <c r="A25" s="9"/>
      <c r="B25" s="95" t="s">
        <v>197</v>
      </c>
      <c r="C25">
        <f>(TJMAX-TJ)/(TJMAX-25)</f>
        <v>0.44622222222222224</v>
      </c>
      <c r="D25" s="267"/>
      <c r="E25" s="267"/>
      <c r="F25" s="267"/>
      <c r="G25" s="33" t="s">
        <v>380</v>
      </c>
      <c r="H25">
        <f>IF(H24="Yes", TJ,TAMB)</f>
        <v>108.06666666666666</v>
      </c>
      <c r="K25" s="267"/>
      <c r="L25" s="9"/>
      <c r="M25" s="9"/>
      <c r="N25" s="9"/>
      <c r="O25" s="218"/>
      <c r="P25" s="9"/>
      <c r="Q25" s="9"/>
      <c r="R25" s="9"/>
      <c r="S25" s="9"/>
      <c r="T25" s="9"/>
      <c r="U25" s="9"/>
      <c r="V25" s="9"/>
    </row>
    <row r="26" spans="1:22" x14ac:dyDescent="0.2">
      <c r="A26" s="9"/>
      <c r="B26" s="93" t="s">
        <v>192</v>
      </c>
      <c r="C26">
        <f>IF((C22*C25)&lt;0,0.000000001,C22*C25)</f>
        <v>420.02582090709075</v>
      </c>
      <c r="D26" s="94" t="s">
        <v>87</v>
      </c>
      <c r="E26" s="267"/>
      <c r="F26" s="267"/>
      <c r="K26" s="267"/>
      <c r="L26" s="9"/>
      <c r="M26" s="9"/>
      <c r="N26" s="9"/>
      <c r="O26" s="9"/>
      <c r="P26" s="9"/>
      <c r="Q26" s="9"/>
      <c r="R26" s="9"/>
      <c r="S26" s="9"/>
      <c r="T26" s="9"/>
      <c r="U26" s="9"/>
      <c r="V26" s="9"/>
    </row>
    <row r="27" spans="1:22" x14ac:dyDescent="0.2">
      <c r="A27" s="9"/>
      <c r="B27" s="218"/>
      <c r="C27" s="218"/>
      <c r="D27" s="267"/>
      <c r="E27" s="267"/>
      <c r="F27" s="267"/>
      <c r="G27" s="95" t="s">
        <v>197</v>
      </c>
      <c r="H27">
        <f>(TJMAX-H25)/(TJMAX-25)</f>
        <v>0.44622222222222224</v>
      </c>
      <c r="K27" s="267"/>
      <c r="L27" s="9"/>
      <c r="M27" s="9"/>
      <c r="N27" s="9"/>
      <c r="O27" s="9"/>
      <c r="P27" s="9"/>
      <c r="Q27" s="9"/>
      <c r="R27" s="9"/>
      <c r="S27" s="9"/>
      <c r="T27" s="9"/>
      <c r="U27" s="9"/>
      <c r="V27" s="9"/>
    </row>
    <row r="28" spans="1:22" x14ac:dyDescent="0.2">
      <c r="A28" s="9"/>
      <c r="B28" s="218"/>
      <c r="D28" s="267"/>
      <c r="E28" s="267"/>
      <c r="F28" s="267"/>
      <c r="G28" s="93" t="s">
        <v>192</v>
      </c>
      <c r="H28">
        <f>IF((H22*H27)&lt;0,0.000000001,H22*H27)</f>
        <v>34.921637857566971</v>
      </c>
      <c r="K28" s="267"/>
      <c r="L28" s="9"/>
      <c r="M28" s="9"/>
      <c r="N28" s="9"/>
      <c r="O28" s="9"/>
      <c r="P28" s="9"/>
      <c r="Q28" s="9"/>
      <c r="R28" s="9"/>
      <c r="S28" s="9"/>
      <c r="T28" s="9"/>
      <c r="U28" s="9"/>
      <c r="V28" s="9"/>
    </row>
    <row r="29" spans="1:22" x14ac:dyDescent="0.2">
      <c r="A29" s="9"/>
      <c r="B29" s="95" t="s">
        <v>410</v>
      </c>
      <c r="D29" s="267"/>
      <c r="E29" s="267"/>
      <c r="F29" s="267"/>
      <c r="H29" s="9"/>
      <c r="I29" s="92"/>
      <c r="J29" s="92"/>
      <c r="K29" s="92"/>
      <c r="L29" s="9"/>
      <c r="M29" s="9"/>
      <c r="N29" s="9"/>
      <c r="O29" s="9"/>
      <c r="P29" s="9"/>
      <c r="Q29" s="9"/>
      <c r="R29" s="9"/>
      <c r="S29" s="9"/>
      <c r="T29" s="9"/>
      <c r="U29" s="9"/>
      <c r="V29" s="9"/>
    </row>
    <row r="30" spans="1:22" x14ac:dyDescent="0.2">
      <c r="A30" s="9"/>
      <c r="C30" s="90" t="s">
        <v>411</v>
      </c>
      <c r="D30" s="223" t="s">
        <v>412</v>
      </c>
      <c r="E30" s="223" t="s">
        <v>413</v>
      </c>
      <c r="F30" s="223" t="s">
        <v>414</v>
      </c>
      <c r="G30" s="267"/>
      <c r="H30" s="9"/>
      <c r="I30" s="92"/>
      <c r="J30" s="92"/>
      <c r="K30" s="92"/>
      <c r="L30" s="9"/>
      <c r="M30" s="9"/>
      <c r="N30" s="9"/>
      <c r="O30" s="9"/>
      <c r="P30" s="9"/>
      <c r="Q30" s="9"/>
      <c r="R30" s="9"/>
      <c r="S30" s="9"/>
      <c r="T30" s="9"/>
      <c r="U30" s="9"/>
      <c r="V30" s="9"/>
    </row>
    <row r="31" spans="1:22" x14ac:dyDescent="0.2">
      <c r="B31" s="95" t="s">
        <v>415</v>
      </c>
      <c r="C31" s="265">
        <v>0.1</v>
      </c>
      <c r="D31" s="264">
        <v>1</v>
      </c>
      <c r="E31" s="267">
        <v>10</v>
      </c>
      <c r="F31" s="218">
        <v>100</v>
      </c>
      <c r="G31" s="199"/>
      <c r="H31" s="9"/>
      <c r="I31" s="9"/>
      <c r="J31" s="9"/>
      <c r="K31" s="9"/>
      <c r="L31" s="9"/>
      <c r="M31" s="9"/>
      <c r="N31" s="9"/>
      <c r="O31" s="9"/>
      <c r="P31" s="9"/>
      <c r="Q31" s="9"/>
      <c r="R31" s="9"/>
      <c r="S31" s="9"/>
      <c r="T31" s="9"/>
      <c r="U31" s="9"/>
      <c r="V31" s="9"/>
    </row>
    <row r="32" spans="1:22" x14ac:dyDescent="0.2">
      <c r="B32" s="265" t="s">
        <v>416</v>
      </c>
      <c r="C32" s="264">
        <v>1</v>
      </c>
      <c r="D32" s="264">
        <v>10</v>
      </c>
      <c r="E32" s="267">
        <v>100</v>
      </c>
      <c r="F32" s="218">
        <v>1000</v>
      </c>
      <c r="G32" s="93"/>
      <c r="H32" s="9"/>
      <c r="I32" s="9"/>
      <c r="J32" s="9"/>
      <c r="K32" s="9"/>
      <c r="L32" s="9"/>
      <c r="M32" s="9"/>
      <c r="N32" s="9"/>
      <c r="O32" s="9"/>
      <c r="P32" s="9"/>
      <c r="Q32" s="9"/>
      <c r="R32" s="9"/>
      <c r="S32" s="9"/>
      <c r="T32" s="9"/>
      <c r="U32" s="9"/>
      <c r="V32" s="9"/>
    </row>
    <row r="33" spans="2:22" x14ac:dyDescent="0.2">
      <c r="B33" s="265" t="s">
        <v>186</v>
      </c>
      <c r="C33" s="264">
        <f>B4/(C31^C34)</f>
        <v>7.0000000000000036</v>
      </c>
      <c r="D33" s="264">
        <f>C4/(D31^D34)</f>
        <v>7</v>
      </c>
      <c r="E33" s="264">
        <f>IF('Design Calculator'!F44="NA",D33,D4/(E31^E34))</f>
        <v>5.7142857142857153</v>
      </c>
      <c r="F33" s="264">
        <f>IF('Design Calculator'!F44="NA", E33, E4/(F31^F34))</f>
        <v>0.7</v>
      </c>
      <c r="G33" s="33"/>
      <c r="H33" s="9"/>
      <c r="I33" s="9"/>
      <c r="J33" s="9"/>
      <c r="K33" s="9"/>
      <c r="L33" s="9"/>
      <c r="M33" s="9"/>
      <c r="N33" s="9"/>
      <c r="O33" s="9"/>
      <c r="P33" s="9"/>
      <c r="Q33" s="9"/>
      <c r="R33" s="9"/>
      <c r="S33" s="9"/>
      <c r="T33" s="9"/>
      <c r="U33" s="9"/>
      <c r="V33" s="9"/>
    </row>
    <row r="34" spans="2:22" x14ac:dyDescent="0.2">
      <c r="B34" s="265" t="s">
        <v>187</v>
      </c>
      <c r="C34" s="18">
        <f>LOG(B4/C4)/LOG(C31/C32)</f>
        <v>-1.234083206033368</v>
      </c>
      <c r="D34" s="18">
        <f>LOG(C4/D4)/LOG(D31/D32)</f>
        <v>-0.54406804435027567</v>
      </c>
      <c r="E34" s="18">
        <f>IF('Design Calculator'!F44="NA", D34, LOG(D4/E4)/LOG(E31/E32))</f>
        <v>-0.45593195564972439</v>
      </c>
      <c r="F34" s="18">
        <f>IF('Design Calculator'!F44="NA",E34,LOG(E4/F4)/LOG(F31/F32))</f>
        <v>0</v>
      </c>
      <c r="G34" s="33"/>
      <c r="H34" s="9"/>
      <c r="I34" s="9"/>
      <c r="J34" s="9"/>
      <c r="K34" s="9"/>
      <c r="L34" s="9"/>
      <c r="M34" s="9"/>
      <c r="N34" s="9"/>
      <c r="O34" s="9"/>
      <c r="P34" s="9"/>
      <c r="Q34" s="9"/>
      <c r="R34" s="9"/>
      <c r="S34" s="9"/>
      <c r="T34" s="9"/>
      <c r="U34" s="9"/>
      <c r="V34" s="9"/>
    </row>
    <row r="35" spans="2:22" x14ac:dyDescent="0.2">
      <c r="E35" s="267"/>
      <c r="F35" s="9"/>
      <c r="G35" s="33"/>
      <c r="H35" s="9"/>
      <c r="I35" s="9"/>
      <c r="J35" s="9"/>
      <c r="K35" s="9"/>
      <c r="L35" s="9"/>
      <c r="M35" s="9"/>
      <c r="N35" s="9"/>
      <c r="O35" s="9"/>
      <c r="P35" s="9"/>
      <c r="Q35" s="9"/>
      <c r="R35" s="9"/>
      <c r="S35" s="9"/>
      <c r="T35" s="9"/>
      <c r="U35" s="9"/>
      <c r="V35" s="9"/>
    </row>
    <row r="36" spans="2:22" x14ac:dyDescent="0.2">
      <c r="E36" s="267"/>
      <c r="F36" s="9"/>
      <c r="G36" s="33"/>
      <c r="H36" s="9"/>
      <c r="I36" s="9"/>
      <c r="J36" s="9"/>
      <c r="K36" s="9"/>
      <c r="L36" s="9"/>
      <c r="M36" s="9"/>
      <c r="N36" s="9"/>
      <c r="O36" s="9"/>
      <c r="P36" s="9"/>
      <c r="Q36" s="9"/>
      <c r="R36" s="9"/>
      <c r="S36" s="9"/>
      <c r="T36" s="9"/>
      <c r="U36" s="9"/>
      <c r="V36" s="9"/>
    </row>
    <row r="37" spans="2:22" x14ac:dyDescent="0.2">
      <c r="E37" s="86"/>
      <c r="F37" s="9"/>
      <c r="G37" s="33"/>
      <c r="H37" s="9"/>
      <c r="I37" s="9"/>
      <c r="J37" s="9"/>
      <c r="K37" s="9"/>
      <c r="L37" s="9"/>
      <c r="M37" s="9"/>
      <c r="N37" s="9"/>
      <c r="O37" s="9"/>
      <c r="P37" s="9"/>
      <c r="Q37" s="9"/>
      <c r="R37" s="9"/>
      <c r="S37" s="9"/>
      <c r="T37" s="9"/>
      <c r="U37" s="9"/>
      <c r="V37" s="9"/>
    </row>
    <row r="38" spans="2:22" x14ac:dyDescent="0.2">
      <c r="E38" s="86"/>
      <c r="F38" s="9"/>
      <c r="G38" s="33"/>
      <c r="H38" s="9"/>
      <c r="I38" s="9"/>
      <c r="J38" s="9"/>
      <c r="K38" s="9"/>
      <c r="L38" s="9"/>
      <c r="M38" s="9"/>
      <c r="N38" s="9"/>
      <c r="O38" s="9"/>
      <c r="P38" s="9"/>
      <c r="Q38" s="9"/>
      <c r="R38" s="9"/>
      <c r="S38" s="9"/>
      <c r="T38" s="9"/>
      <c r="U38" s="9"/>
      <c r="V38" s="9"/>
    </row>
    <row r="39" spans="2:22" x14ac:dyDescent="0.2">
      <c r="E39" s="86"/>
      <c r="F39" s="9"/>
      <c r="H39" s="9"/>
      <c r="I39" s="9"/>
      <c r="J39" s="9"/>
      <c r="K39" s="9"/>
      <c r="L39" s="9"/>
      <c r="M39" s="9"/>
      <c r="N39" s="9"/>
      <c r="O39" s="9"/>
      <c r="P39" s="9"/>
      <c r="Q39" s="9"/>
      <c r="R39" s="9"/>
      <c r="S39" s="9"/>
      <c r="T39" s="9"/>
      <c r="U39" s="9"/>
      <c r="V39" s="9"/>
    </row>
    <row r="40" spans="2:22" x14ac:dyDescent="0.2">
      <c r="E40" s="86"/>
      <c r="F40" s="9"/>
      <c r="G40" s="33"/>
      <c r="H40" s="9"/>
      <c r="I40" s="9"/>
      <c r="J40" s="9"/>
      <c r="K40" s="9"/>
      <c r="L40" s="9"/>
      <c r="M40" s="9"/>
      <c r="N40" s="9"/>
      <c r="O40" s="9"/>
      <c r="P40" s="9"/>
      <c r="Q40" s="9"/>
      <c r="R40" s="9"/>
      <c r="S40" s="9"/>
      <c r="T40" s="9"/>
      <c r="U40" s="9"/>
      <c r="V40" s="9"/>
    </row>
    <row r="41" spans="2:22" x14ac:dyDescent="0.2">
      <c r="E41" s="86"/>
      <c r="F41" s="9"/>
      <c r="H41" s="9"/>
      <c r="I41" s="9"/>
      <c r="J41" s="9"/>
      <c r="K41" s="9"/>
      <c r="L41" s="9"/>
      <c r="M41" s="9"/>
      <c r="N41" s="9"/>
      <c r="O41" s="9"/>
      <c r="P41" s="9"/>
      <c r="Q41" s="9"/>
      <c r="R41" s="9"/>
      <c r="S41" s="9"/>
      <c r="T41" s="9"/>
      <c r="U41" s="9"/>
      <c r="V41" s="9"/>
    </row>
    <row r="42" spans="2:22" x14ac:dyDescent="0.2">
      <c r="E42" s="86"/>
      <c r="F42" s="9"/>
      <c r="G42" s="33"/>
      <c r="H42" s="9"/>
      <c r="I42" s="9"/>
      <c r="J42" s="9"/>
      <c r="K42" s="9"/>
      <c r="L42" s="9"/>
      <c r="M42" s="9"/>
      <c r="N42" s="9"/>
      <c r="O42" s="9"/>
      <c r="P42" s="9"/>
      <c r="Q42" s="9"/>
      <c r="R42" s="9"/>
      <c r="S42" s="9"/>
      <c r="T42" s="9"/>
      <c r="U42" s="9"/>
      <c r="V42" s="9"/>
    </row>
    <row r="43" spans="2:22" x14ac:dyDescent="0.2">
      <c r="E43" s="86"/>
      <c r="F43" s="9"/>
      <c r="G43" s="33"/>
      <c r="H43" s="9"/>
      <c r="I43" s="9"/>
      <c r="J43" s="9"/>
      <c r="K43" s="9"/>
      <c r="L43" s="9"/>
      <c r="M43" s="9"/>
      <c r="N43" s="9"/>
      <c r="O43" s="9"/>
      <c r="P43" s="9"/>
      <c r="Q43" s="9"/>
      <c r="R43" s="9"/>
      <c r="S43" s="9"/>
      <c r="T43" s="9"/>
      <c r="U43" s="9"/>
      <c r="V43" s="9"/>
    </row>
    <row r="44" spans="2:22" x14ac:dyDescent="0.2">
      <c r="E44" s="86"/>
      <c r="F44" s="9"/>
      <c r="G44" s="33"/>
      <c r="H44" s="9"/>
      <c r="I44" s="9"/>
      <c r="J44" s="9"/>
      <c r="K44" s="9"/>
      <c r="L44" s="9"/>
      <c r="M44" s="9"/>
      <c r="N44" s="9"/>
      <c r="O44" s="9"/>
      <c r="P44" s="9"/>
      <c r="Q44" s="9"/>
      <c r="R44" s="9"/>
      <c r="S44" s="9"/>
      <c r="T44" s="9"/>
      <c r="U44" s="9"/>
      <c r="V44" s="9"/>
    </row>
    <row r="45" spans="2:22" x14ac:dyDescent="0.2">
      <c r="E45" s="86"/>
      <c r="F45" s="9"/>
      <c r="H45" s="9"/>
      <c r="I45" s="9"/>
      <c r="J45" s="9"/>
      <c r="K45" s="9"/>
      <c r="L45" s="9"/>
      <c r="M45" s="9"/>
      <c r="N45" s="9"/>
      <c r="O45" s="9"/>
      <c r="P45" s="9"/>
      <c r="Q45" s="9"/>
      <c r="R45" s="9"/>
      <c r="S45" s="9"/>
      <c r="T45" s="9"/>
      <c r="U45" s="9"/>
      <c r="V45" s="9"/>
    </row>
    <row r="46" spans="2:22" x14ac:dyDescent="0.2">
      <c r="E46" s="86"/>
      <c r="F46" s="9"/>
      <c r="G46" s="34"/>
      <c r="H46" s="9"/>
      <c r="I46" s="9"/>
      <c r="J46" s="9"/>
      <c r="K46" s="9"/>
      <c r="L46" s="9"/>
      <c r="M46" s="9"/>
      <c r="N46" s="9"/>
      <c r="O46" s="9"/>
      <c r="P46" s="9"/>
      <c r="Q46" s="9"/>
      <c r="R46" s="9"/>
      <c r="S46" s="9"/>
      <c r="T46" s="9"/>
      <c r="U46" s="9"/>
      <c r="V46" s="9"/>
    </row>
    <row r="47" spans="2:22" x14ac:dyDescent="0.2">
      <c r="E47" s="86"/>
      <c r="F47" s="9"/>
      <c r="H47" s="9"/>
      <c r="I47" s="9"/>
      <c r="J47" s="9"/>
      <c r="K47" s="9"/>
      <c r="L47" s="9"/>
      <c r="M47" s="9"/>
      <c r="N47" s="9"/>
      <c r="O47" s="9"/>
      <c r="P47" s="9"/>
      <c r="Q47" s="9"/>
      <c r="R47" s="9"/>
      <c r="S47" s="9"/>
      <c r="T47" s="9"/>
      <c r="U47" s="9"/>
      <c r="V47" s="9"/>
    </row>
    <row r="48" spans="2:22" x14ac:dyDescent="0.2">
      <c r="E48" s="86"/>
      <c r="F48" s="9"/>
      <c r="H48" s="9"/>
      <c r="I48" s="9"/>
      <c r="J48" s="9"/>
      <c r="K48" s="9"/>
      <c r="L48" s="9"/>
      <c r="M48" s="9"/>
      <c r="N48" s="9"/>
      <c r="O48" s="9"/>
      <c r="P48" s="9"/>
      <c r="Q48" s="9"/>
      <c r="R48" s="9"/>
      <c r="S48" s="9"/>
      <c r="T48" s="9"/>
      <c r="U48" s="9"/>
      <c r="V48" s="9"/>
    </row>
    <row r="49" spans="1:22" x14ac:dyDescent="0.2">
      <c r="E49" s="86"/>
      <c r="F49" s="9"/>
      <c r="G49" s="95"/>
      <c r="H49" s="9"/>
      <c r="I49" s="9"/>
      <c r="J49" s="9"/>
      <c r="K49" s="9"/>
      <c r="L49" s="9"/>
      <c r="M49" s="9"/>
      <c r="N49" s="9"/>
      <c r="O49" s="9"/>
      <c r="P49" s="9"/>
      <c r="Q49" s="9"/>
      <c r="R49" s="9"/>
      <c r="S49" s="9"/>
      <c r="T49" s="9"/>
      <c r="U49" s="9"/>
      <c r="V49" s="9"/>
    </row>
    <row r="50" spans="1:22" x14ac:dyDescent="0.2">
      <c r="E50" s="86"/>
      <c r="F50" s="9"/>
      <c r="G50" s="93"/>
      <c r="H50" s="9"/>
      <c r="I50" s="9"/>
      <c r="J50" s="9"/>
      <c r="K50" s="9"/>
      <c r="L50" s="9"/>
      <c r="M50" s="9"/>
      <c r="N50" s="9"/>
      <c r="O50" s="9"/>
      <c r="P50" s="9"/>
      <c r="Q50" s="9"/>
      <c r="R50" s="9"/>
      <c r="S50" s="9"/>
      <c r="T50" s="9"/>
      <c r="U50" s="9"/>
      <c r="V50" s="9"/>
    </row>
    <row r="51" spans="1:22" x14ac:dyDescent="0.2">
      <c r="E51" s="86"/>
      <c r="F51" s="88"/>
      <c r="G51" s="88"/>
      <c r="H51" s="9"/>
      <c r="I51" s="9"/>
      <c r="J51" s="9"/>
      <c r="K51" s="9"/>
      <c r="L51" s="9"/>
      <c r="M51" s="9"/>
      <c r="N51" s="9"/>
      <c r="O51" s="9"/>
      <c r="P51" s="9"/>
      <c r="Q51" s="9"/>
      <c r="R51" s="9"/>
      <c r="S51" s="9"/>
      <c r="T51" s="9"/>
      <c r="U51" s="9"/>
      <c r="V51" s="9"/>
    </row>
    <row r="52" spans="1:22" x14ac:dyDescent="0.2">
      <c r="E52" s="86"/>
      <c r="F52" s="88"/>
      <c r="G52" s="88"/>
      <c r="H52" s="9"/>
      <c r="I52" s="9"/>
      <c r="J52" s="9"/>
      <c r="K52" s="9"/>
      <c r="L52" s="9"/>
      <c r="M52" s="9"/>
      <c r="N52" s="9"/>
      <c r="O52" s="9"/>
      <c r="P52" s="9"/>
      <c r="Q52" s="9"/>
      <c r="R52" s="9"/>
      <c r="S52" s="9"/>
      <c r="T52" s="9"/>
      <c r="U52" s="9"/>
      <c r="V52" s="9"/>
    </row>
    <row r="53" spans="1:22" x14ac:dyDescent="0.2">
      <c r="A53" s="9"/>
      <c r="B53" s="9"/>
      <c r="C53" s="85"/>
      <c r="D53" s="86"/>
      <c r="E53" s="86"/>
      <c r="F53" s="88"/>
      <c r="G53" s="88"/>
      <c r="H53" s="9"/>
      <c r="I53" s="9"/>
      <c r="J53" s="9"/>
      <c r="K53" s="9"/>
      <c r="L53" s="9"/>
      <c r="M53" s="9"/>
      <c r="N53" s="9"/>
      <c r="O53" s="9"/>
      <c r="P53" s="9"/>
      <c r="Q53" s="9"/>
      <c r="R53" s="9"/>
      <c r="S53" s="9"/>
      <c r="T53" s="9"/>
      <c r="U53" s="9"/>
      <c r="V53" s="9"/>
    </row>
    <row r="54" spans="1:22" x14ac:dyDescent="0.2">
      <c r="A54" s="9"/>
      <c r="B54" s="9"/>
      <c r="C54" s="85"/>
      <c r="D54" s="86"/>
      <c r="E54" s="86"/>
      <c r="F54" s="88"/>
      <c r="G54" s="88"/>
      <c r="H54" s="9"/>
      <c r="I54" s="9"/>
      <c r="J54" s="9"/>
      <c r="K54" s="9"/>
      <c r="L54" s="9"/>
      <c r="M54" s="9"/>
      <c r="N54" s="9"/>
      <c r="O54" s="9"/>
      <c r="P54" s="9"/>
      <c r="Q54" s="9"/>
      <c r="R54" s="9"/>
      <c r="S54" s="9"/>
      <c r="T54" s="9"/>
      <c r="U54" s="9"/>
      <c r="V54" s="9"/>
    </row>
    <row r="55" spans="1:22" x14ac:dyDescent="0.2">
      <c r="A55" s="9"/>
      <c r="B55" s="9"/>
      <c r="C55" s="85"/>
      <c r="D55" s="86"/>
      <c r="E55" s="86"/>
      <c r="F55" s="88"/>
      <c r="G55" s="88"/>
      <c r="H55" s="9"/>
      <c r="I55" s="9"/>
      <c r="J55" s="9"/>
      <c r="K55" s="9"/>
      <c r="L55" s="9"/>
      <c r="M55" s="9"/>
      <c r="N55" s="9"/>
      <c r="O55" s="9"/>
      <c r="P55" s="9"/>
      <c r="Q55" s="9"/>
      <c r="R55" s="9"/>
      <c r="S55" s="9"/>
      <c r="T55" s="9"/>
      <c r="U55" s="9"/>
      <c r="V55" s="9"/>
    </row>
    <row r="56" spans="1:22" x14ac:dyDescent="0.2">
      <c r="A56" s="9"/>
      <c r="B56" s="9"/>
      <c r="C56" s="85"/>
      <c r="D56" s="86"/>
      <c r="E56" s="86"/>
      <c r="F56" s="88"/>
      <c r="G56" s="88"/>
      <c r="H56" s="9"/>
    </row>
    <row r="57" spans="1:22" x14ac:dyDescent="0.2">
      <c r="A57" s="9"/>
      <c r="B57" s="9"/>
      <c r="C57" s="85"/>
      <c r="D57" s="86"/>
      <c r="E57" s="86"/>
      <c r="F57" s="88"/>
      <c r="G57" s="88"/>
    </row>
    <row r="58" spans="1:22" x14ac:dyDescent="0.2">
      <c r="A58" s="9"/>
      <c r="B58" s="9"/>
      <c r="C58" s="85"/>
      <c r="D58" s="86"/>
      <c r="E58" s="86"/>
      <c r="F58" s="88"/>
      <c r="G58" s="88"/>
    </row>
    <row r="59" spans="1:22" x14ac:dyDescent="0.2">
      <c r="A59" s="9"/>
      <c r="B59" s="9"/>
      <c r="C59" s="85"/>
      <c r="D59" s="86"/>
      <c r="E59" s="86"/>
      <c r="F59" s="88"/>
      <c r="G59" s="88"/>
    </row>
    <row r="60" spans="1:22" x14ac:dyDescent="0.2">
      <c r="A60" s="9"/>
      <c r="B60" s="9"/>
      <c r="C60" s="85"/>
      <c r="D60" s="86"/>
      <c r="E60" s="86"/>
      <c r="F60" s="88"/>
      <c r="G60" s="88"/>
    </row>
    <row r="61" spans="1:22" x14ac:dyDescent="0.2">
      <c r="A61" s="9"/>
      <c r="B61" s="9"/>
      <c r="C61" s="85"/>
      <c r="D61" s="86"/>
      <c r="E61" s="86"/>
      <c r="F61" s="88"/>
      <c r="G61" s="88"/>
    </row>
    <row r="62" spans="1:22" x14ac:dyDescent="0.2">
      <c r="A62" s="9"/>
      <c r="B62" s="9"/>
      <c r="C62" s="85"/>
      <c r="D62" s="86"/>
      <c r="E62" s="86"/>
      <c r="F62" s="88"/>
      <c r="G62" s="88"/>
    </row>
    <row r="63" spans="1:22" x14ac:dyDescent="0.2">
      <c r="A63" s="9"/>
      <c r="B63" s="9"/>
      <c r="C63" s="85"/>
      <c r="D63" s="86"/>
      <c r="E63" s="86"/>
      <c r="F63" s="88"/>
      <c r="G63" s="88"/>
    </row>
    <row r="64" spans="1:22" x14ac:dyDescent="0.2">
      <c r="A64" s="9"/>
      <c r="B64" s="9"/>
      <c r="C64" s="85"/>
      <c r="D64" s="86"/>
      <c r="E64" s="86"/>
      <c r="F64" s="88"/>
      <c r="G64" s="88"/>
    </row>
    <row r="65" spans="1:7" x14ac:dyDescent="0.2">
      <c r="A65" s="9"/>
      <c r="B65" s="9"/>
      <c r="C65" s="85"/>
      <c r="D65" s="86"/>
      <c r="E65" s="86"/>
      <c r="F65" s="88"/>
      <c r="G65" s="88"/>
    </row>
    <row r="66" spans="1:7" x14ac:dyDescent="0.2">
      <c r="A66" s="9"/>
      <c r="B66" s="9"/>
      <c r="C66" s="85"/>
      <c r="D66" s="86"/>
      <c r="E66" s="86"/>
      <c r="F66" s="88"/>
      <c r="G66" s="88"/>
    </row>
    <row r="67" spans="1:7" x14ac:dyDescent="0.2">
      <c r="A67" s="9"/>
      <c r="B67" s="9"/>
      <c r="C67" s="85"/>
      <c r="D67" s="86"/>
      <c r="E67" s="86"/>
      <c r="F67" s="88"/>
      <c r="G67" s="88"/>
    </row>
    <row r="68" spans="1:7" x14ac:dyDescent="0.2">
      <c r="A68" s="9"/>
      <c r="B68" s="9"/>
      <c r="C68" s="85"/>
      <c r="D68" s="86"/>
      <c r="E68" s="86"/>
      <c r="F68" s="88"/>
      <c r="G68" s="88"/>
    </row>
    <row r="69" spans="1:7" x14ac:dyDescent="0.2">
      <c r="A69" s="9"/>
      <c r="B69" s="9"/>
      <c r="C69" s="85"/>
      <c r="D69" s="86"/>
      <c r="E69" s="86"/>
      <c r="F69" s="88"/>
      <c r="G69" s="88"/>
    </row>
    <row r="70" spans="1:7" x14ac:dyDescent="0.2">
      <c r="A70" s="9"/>
      <c r="B70" s="9"/>
    </row>
  </sheetData>
  <mergeCells count="3">
    <mergeCell ref="C2:E2"/>
    <mergeCell ref="N5:P5"/>
    <mergeCell ref="R5:T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C5:Y59"/>
  <sheetViews>
    <sheetView topLeftCell="C1" zoomScale="85" zoomScaleNormal="85" workbookViewId="0">
      <selection activeCell="D38" sqref="D38"/>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33" t="s">
        <v>389</v>
      </c>
    </row>
    <row r="7" spans="3:4" x14ac:dyDescent="0.2">
      <c r="C7" s="33" t="s">
        <v>390</v>
      </c>
    </row>
    <row r="8" spans="3:4" x14ac:dyDescent="0.2">
      <c r="C8" s="33" t="s">
        <v>391</v>
      </c>
    </row>
    <row r="10" spans="3:4" x14ac:dyDescent="0.2">
      <c r="C10" s="33" t="s">
        <v>392</v>
      </c>
    </row>
    <row r="11" spans="3:4" x14ac:dyDescent="0.2">
      <c r="C11" s="33" t="s">
        <v>444</v>
      </c>
    </row>
    <row r="12" spans="3:4" x14ac:dyDescent="0.2">
      <c r="C12" s="33" t="s">
        <v>445</v>
      </c>
    </row>
    <row r="13" spans="3:4" x14ac:dyDescent="0.2">
      <c r="C13" s="33" t="s">
        <v>446</v>
      </c>
    </row>
    <row r="14" spans="3:4" x14ac:dyDescent="0.2">
      <c r="C14" s="33" t="s">
        <v>403</v>
      </c>
      <c r="D14" s="33" t="s">
        <v>404</v>
      </c>
    </row>
    <row r="15" spans="3:4" ht="12" customHeight="1" x14ac:dyDescent="0.2">
      <c r="C15" s="33"/>
      <c r="D15" s="33" t="s">
        <v>406</v>
      </c>
    </row>
    <row r="16" spans="3:4" ht="12" customHeight="1" x14ac:dyDescent="0.2">
      <c r="C16" s="33"/>
      <c r="D16" s="33"/>
    </row>
    <row r="17" spans="3:13" ht="12" customHeight="1" x14ac:dyDescent="0.2">
      <c r="C17" s="33"/>
      <c r="D17" s="33"/>
    </row>
    <row r="18" spans="3:13" ht="12" customHeight="1" x14ac:dyDescent="0.2">
      <c r="C18" s="33"/>
      <c r="D18" s="90" t="s">
        <v>421</v>
      </c>
    </row>
    <row r="19" spans="3:13" x14ac:dyDescent="0.2">
      <c r="C19" s="33"/>
      <c r="D19" s="33" t="s">
        <v>419</v>
      </c>
      <c r="E19">
        <f>SOA!H25</f>
        <v>108.06666666666666</v>
      </c>
    </row>
    <row r="20" spans="3:13" x14ac:dyDescent="0.2">
      <c r="D20" s="33" t="s">
        <v>401</v>
      </c>
      <c r="E20">
        <v>1.5</v>
      </c>
      <c r="I20" s="95" t="s">
        <v>410</v>
      </c>
      <c r="K20" s="217"/>
      <c r="L20" s="217"/>
      <c r="M20" s="217"/>
    </row>
    <row r="21" spans="3:13" x14ac:dyDescent="0.2">
      <c r="D21" s="33" t="s">
        <v>393</v>
      </c>
      <c r="E21">
        <f>1/2*COUTMAX*VINMAX^2*0.000001</f>
        <v>1.458</v>
      </c>
      <c r="J21" s="90" t="s">
        <v>411</v>
      </c>
      <c r="K21" s="223" t="s">
        <v>412</v>
      </c>
      <c r="L21" s="223" t="s">
        <v>413</v>
      </c>
      <c r="M21" s="223" t="s">
        <v>414</v>
      </c>
    </row>
    <row r="22" spans="3:13" x14ac:dyDescent="0.2">
      <c r="D22" s="33" t="s">
        <v>395</v>
      </c>
      <c r="E22">
        <f>MAX(Equations!F58-E21,0)</f>
        <v>4.4394230769230658E-2</v>
      </c>
      <c r="I22" s="95" t="s">
        <v>415</v>
      </c>
      <c r="J22" s="215">
        <v>0.1</v>
      </c>
      <c r="K22" s="216">
        <v>1</v>
      </c>
      <c r="L22" s="217">
        <v>10</v>
      </c>
      <c r="M22" s="218">
        <v>100</v>
      </c>
    </row>
    <row r="23" spans="3:13" x14ac:dyDescent="0.2">
      <c r="D23" s="33" t="s">
        <v>396</v>
      </c>
      <c r="E23">
        <f>Equations!F57</f>
        <v>300</v>
      </c>
      <c r="I23" s="215" t="s">
        <v>416</v>
      </c>
      <c r="J23" s="216">
        <v>1</v>
      </c>
      <c r="K23" s="216">
        <v>10</v>
      </c>
      <c r="L23" s="217">
        <v>100</v>
      </c>
      <c r="M23" s="218">
        <v>1000</v>
      </c>
    </row>
    <row r="24" spans="3:13" x14ac:dyDescent="0.2">
      <c r="I24" s="215" t="s">
        <v>186</v>
      </c>
      <c r="J24" s="216">
        <f>SOA!C33</f>
        <v>7.0000000000000036</v>
      </c>
      <c r="K24" s="216">
        <f>SOA!D33</f>
        <v>7</v>
      </c>
      <c r="L24" s="216">
        <f>SOA!E33</f>
        <v>5.7142857142857153</v>
      </c>
      <c r="M24" s="216">
        <f>SOA!F33</f>
        <v>0.7</v>
      </c>
    </row>
    <row r="25" spans="3:13" x14ac:dyDescent="0.2">
      <c r="D25" t="s">
        <v>193</v>
      </c>
      <c r="E25">
        <f>'Design Calculator'!F52</f>
        <v>45</v>
      </c>
      <c r="I25" s="215" t="s">
        <v>187</v>
      </c>
      <c r="J25" s="216">
        <f>SOA!C34</f>
        <v>-1.234083206033368</v>
      </c>
      <c r="K25" s="216">
        <f>SOA!D34</f>
        <v>-0.54406804435027567</v>
      </c>
      <c r="L25" s="216">
        <f>SOA!E34</f>
        <v>-0.45593195564972439</v>
      </c>
      <c r="M25" s="216">
        <f>SOA!F34</f>
        <v>0</v>
      </c>
    </row>
    <row r="26" spans="3:13" x14ac:dyDescent="0.2">
      <c r="D26" t="s">
        <v>136</v>
      </c>
      <c r="E26" t="str">
        <f>'Design Calculator'!F53</f>
        <v>Constant Current</v>
      </c>
    </row>
    <row r="27" spans="3:13" x14ac:dyDescent="0.2">
      <c r="D27" t="s">
        <v>137</v>
      </c>
      <c r="E27">
        <f>'Design Calculator'!F54</f>
        <v>0.1</v>
      </c>
      <c r="I27" s="214" t="s">
        <v>432</v>
      </c>
      <c r="J27" s="90" t="s">
        <v>150</v>
      </c>
    </row>
    <row r="28" spans="3:13" x14ac:dyDescent="0.2">
      <c r="G28" t="s">
        <v>430</v>
      </c>
      <c r="I28" s="4">
        <f>SUM(E58:X58)</f>
        <v>0.24829656973377476</v>
      </c>
      <c r="J28" s="4">
        <f>IF(I28=0, "NA", I28/AVERAGE(1, E32))</f>
        <v>0.27824085463422776</v>
      </c>
    </row>
    <row r="29" spans="3:13" x14ac:dyDescent="0.2">
      <c r="D29" s="33" t="s">
        <v>461</v>
      </c>
      <c r="E29">
        <f>12/1</f>
        <v>12</v>
      </c>
      <c r="G29" t="s">
        <v>431</v>
      </c>
      <c r="I29" s="4">
        <f>SUM(E59:X59)</f>
        <v>0.12</v>
      </c>
      <c r="J29" s="4">
        <f>IF(I29=0, "NA", I29*AVERAGE(1,E32))</f>
        <v>0.10708559822108767</v>
      </c>
    </row>
    <row r="30" spans="3:13" x14ac:dyDescent="0.2">
      <c r="D30" s="33" t="s">
        <v>462</v>
      </c>
      <c r="E30">
        <v>0.12</v>
      </c>
    </row>
    <row r="31" spans="3:13" x14ac:dyDescent="0.2">
      <c r="D31" s="33" t="s">
        <v>422</v>
      </c>
      <c r="E31">
        <v>20</v>
      </c>
    </row>
    <row r="32" spans="3:13" x14ac:dyDescent="0.2">
      <c r="D32" s="33" t="s">
        <v>423</v>
      </c>
      <c r="E32">
        <f>(E30/E29)^(1/(E31-1))</f>
        <v>0.78475997035146128</v>
      </c>
    </row>
    <row r="33" spans="4:24" x14ac:dyDescent="0.2">
      <c r="D33" s="33"/>
    </row>
    <row r="34" spans="4:24" x14ac:dyDescent="0.2">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
      <c r="D35" s="222" t="s">
        <v>394</v>
      </c>
      <c r="E35" s="222">
        <f>E29</f>
        <v>12</v>
      </c>
      <c r="F35" s="222">
        <f>E35*$E$32</f>
        <v>9.4171196442175358</v>
      </c>
      <c r="G35" s="222">
        <f t="shared" ref="G35:X35" si="0">F35*$E$32</f>
        <v>7.3901785327923166</v>
      </c>
      <c r="H35" s="222">
        <f t="shared" si="0"/>
        <v>5.7995162862861038</v>
      </c>
      <c r="I35" s="222">
        <f t="shared" si="0"/>
        <v>4.5512282288787</v>
      </c>
      <c r="J35" s="222">
        <f t="shared" si="0"/>
        <v>3.5716217299575823</v>
      </c>
      <c r="K35" s="222">
        <f t="shared" si="0"/>
        <v>2.802865762908147</v>
      </c>
      <c r="L35" s="222">
        <f t="shared" si="0"/>
        <v>2.1995768529989235</v>
      </c>
      <c r="M35" s="222">
        <f t="shared" si="0"/>
        <v>1.7261398659451956</v>
      </c>
      <c r="N35" s="222">
        <f t="shared" si="0"/>
        <v>1.354605470021627</v>
      </c>
      <c r="O35" s="222">
        <f t="shared" si="0"/>
        <v>1.0630401484920993</v>
      </c>
      <c r="P35" s="222">
        <f t="shared" si="0"/>
        <v>0.83423135541307281</v>
      </c>
      <c r="Q35" s="222">
        <f t="shared" si="0"/>
        <v>0.65467137374022233</v>
      </c>
      <c r="R35" s="222">
        <f t="shared" si="0"/>
        <v>0.51375988784632731</v>
      </c>
      <c r="S35" s="222">
        <f t="shared" si="0"/>
        <v>0.40317819435405389</v>
      </c>
      <c r="T35" s="222">
        <f t="shared" si="0"/>
        <v>0.316398107847643</v>
      </c>
      <c r="U35" s="222">
        <f t="shared" si="0"/>
        <v>0.24829656973377476</v>
      </c>
      <c r="V35" s="222">
        <f t="shared" si="0"/>
        <v>0.19485320870264661</v>
      </c>
      <c r="W35" s="222">
        <f t="shared" si="0"/>
        <v>0.15291299828437604</v>
      </c>
      <c r="X35" s="222">
        <f t="shared" si="0"/>
        <v>0.12</v>
      </c>
    </row>
    <row r="36" spans="4:24" x14ac:dyDescent="0.2">
      <c r="D36" s="33" t="s">
        <v>397</v>
      </c>
      <c r="E36">
        <f t="shared" ref="E36:X36" si="1">VINMAX/E35</f>
        <v>5</v>
      </c>
      <c r="F36">
        <f t="shared" si="1"/>
        <v>6.3713749285156682</v>
      </c>
      <c r="G36">
        <f t="shared" si="1"/>
        <v>8.1188836959436088</v>
      </c>
      <c r="H36">
        <f t="shared" si="1"/>
        <v>10.345690405573949</v>
      </c>
      <c r="I36">
        <f t="shared" si="1"/>
        <v>13.183254493651789</v>
      </c>
      <c r="J36">
        <f t="shared" si="1"/>
        <v>16.799091431418908</v>
      </c>
      <c r="K36">
        <f t="shared" si="1"/>
        <v>21.406661993596966</v>
      </c>
      <c r="L36">
        <f t="shared" si="1"/>
        <v>27.277973905842593</v>
      </c>
      <c r="M36">
        <f t="shared" si="1"/>
        <v>34.759639808878028</v>
      </c>
      <c r="N36">
        <f t="shared" si="1"/>
        <v>44.293339520504126</v>
      </c>
      <c r="O36">
        <f t="shared" si="1"/>
        <v>56.441894584234447</v>
      </c>
      <c r="P36">
        <f t="shared" si="1"/>
        <v>71.922494414383138</v>
      </c>
      <c r="Q36">
        <f t="shared" si="1"/>
        <v>91.649035541621799</v>
      </c>
      <c r="R36">
        <f t="shared" si="1"/>
        <v>116.78607345450611</v>
      </c>
      <c r="S36">
        <f t="shared" si="1"/>
        <v>148.81757208156591</v>
      </c>
      <c r="T36">
        <f t="shared" si="1"/>
        <v>189.63450953661248</v>
      </c>
      <c r="U36">
        <f t="shared" si="1"/>
        <v>241.64651192858767</v>
      </c>
      <c r="V36">
        <f t="shared" si="1"/>
        <v>307.92410553301318</v>
      </c>
      <c r="W36">
        <f t="shared" si="1"/>
        <v>392.37998517573067</v>
      </c>
      <c r="X36">
        <f t="shared" si="1"/>
        <v>500</v>
      </c>
    </row>
    <row r="37" spans="4:24" x14ac:dyDescent="0.2">
      <c r="D37" s="33" t="s">
        <v>398</v>
      </c>
      <c r="E37">
        <f t="shared" ref="E37:X37" si="2">E35*COUTMAX/1000</f>
        <v>9.7200000000000006</v>
      </c>
      <c r="F37">
        <f t="shared" si="2"/>
        <v>7.6278669118162039</v>
      </c>
      <c r="G37">
        <f t="shared" si="2"/>
        <v>5.986044611561776</v>
      </c>
      <c r="H37">
        <f t="shared" si="2"/>
        <v>4.6976081918917441</v>
      </c>
      <c r="I37">
        <f t="shared" si="2"/>
        <v>3.6864948653917473</v>
      </c>
      <c r="J37">
        <f t="shared" si="2"/>
        <v>2.8930136012656416</v>
      </c>
      <c r="K37">
        <f t="shared" si="2"/>
        <v>2.2703212679555991</v>
      </c>
      <c r="L37">
        <f t="shared" si="2"/>
        <v>1.781657250929128</v>
      </c>
      <c r="M37">
        <f t="shared" si="2"/>
        <v>1.3981732914156084</v>
      </c>
      <c r="N37">
        <f t="shared" si="2"/>
        <v>1.097230430717518</v>
      </c>
      <c r="O37">
        <f t="shared" si="2"/>
        <v>0.86106252027860042</v>
      </c>
      <c r="P37">
        <f t="shared" si="2"/>
        <v>0.67572739788458902</v>
      </c>
      <c r="Q37">
        <f t="shared" si="2"/>
        <v>0.53028381272958003</v>
      </c>
      <c r="R37">
        <f t="shared" si="2"/>
        <v>0.41614550915552512</v>
      </c>
      <c r="S37">
        <f t="shared" si="2"/>
        <v>0.32657433742678366</v>
      </c>
      <c r="T37">
        <f t="shared" si="2"/>
        <v>0.25628246735659083</v>
      </c>
      <c r="U37">
        <f t="shared" si="2"/>
        <v>0.20112022148435757</v>
      </c>
      <c r="V37">
        <f t="shared" si="2"/>
        <v>0.15783109904914375</v>
      </c>
      <c r="W37">
        <f t="shared" si="2"/>
        <v>0.12385952861034459</v>
      </c>
      <c r="X37">
        <f t="shared" si="2"/>
        <v>9.7200000000000009E-2</v>
      </c>
    </row>
    <row r="38" spans="4:24" x14ac:dyDescent="0.2">
      <c r="D38" s="33" t="s">
        <v>399</v>
      </c>
      <c r="E38">
        <f>$E$21+$E$22*E36/$E$23</f>
        <v>1.4587399038461537</v>
      </c>
      <c r="F38">
        <f>$E$21+$E$22*F36/$E$23</f>
        <v>1.4589428409629794</v>
      </c>
      <c r="G38">
        <f>$E$21+$E$22*G36/$E$23</f>
        <v>1.4592014386546208</v>
      </c>
      <c r="H38">
        <f t="shared" ref="H38:J38" si="3">$E$21+$E$22*H36/$E$23</f>
        <v>1.4595309632244402</v>
      </c>
      <c r="I38">
        <f t="shared" si="3"/>
        <v>1.4599508681409354</v>
      </c>
      <c r="J38">
        <f t="shared" si="3"/>
        <v>1.4604859424723993</v>
      </c>
      <c r="K38">
        <f>$E$21+$E$22*K36/$E$23</f>
        <v>1.4611677743084754</v>
      </c>
      <c r="L38">
        <f t="shared" ref="L38:R38" si="4">$E$21+$E$22*L36/$E$23</f>
        <v>1.4620366155616433</v>
      </c>
      <c r="M38">
        <f t="shared" si="4"/>
        <v>1.4631437582371023</v>
      </c>
      <c r="N38">
        <f t="shared" si="4"/>
        <v>1.4645545624540437</v>
      </c>
      <c r="O38">
        <f t="shared" si="4"/>
        <v>1.4663523149774169</v>
      </c>
      <c r="P38">
        <f t="shared" si="4"/>
        <v>1.4686431460484362</v>
      </c>
      <c r="Q38">
        <f t="shared" si="4"/>
        <v>1.4715622947787073</v>
      </c>
      <c r="R38">
        <f t="shared" si="4"/>
        <v>1.4752820929852388</v>
      </c>
      <c r="S38">
        <f t="shared" ref="S38:X38" si="5">$E$21+$E$22*S36/$E$23</f>
        <v>1.4800221387916854</v>
      </c>
      <c r="T38">
        <f t="shared" si="5"/>
        <v>1.4860622605939275</v>
      </c>
      <c r="U38">
        <f t="shared" si="5"/>
        <v>1.4937590367171245</v>
      </c>
      <c r="V38">
        <f t="shared" si="5"/>
        <v>1.5035668460014717</v>
      </c>
      <c r="W38">
        <f>$E$21+$E$22*W36/$E$23</f>
        <v>1.5160646920370622</v>
      </c>
      <c r="X38">
        <f t="shared" si="5"/>
        <v>1.5319903846153844</v>
      </c>
    </row>
    <row r="39" spans="4:24" x14ac:dyDescent="0.2">
      <c r="D39" s="33" t="s">
        <v>402</v>
      </c>
      <c r="E39">
        <f t="shared" ref="E39:X39" si="6">(E37+IF($E$26="Resistive",0,IF($E$25=0,$E$27,0)))*VINMAX</f>
        <v>583.20000000000005</v>
      </c>
      <c r="F39">
        <f t="shared" si="6"/>
        <v>457.67201470897226</v>
      </c>
      <c r="G39">
        <f t="shared" si="6"/>
        <v>359.16267669370654</v>
      </c>
      <c r="H39">
        <f t="shared" si="6"/>
        <v>281.85649151350464</v>
      </c>
      <c r="I39">
        <f t="shared" si="6"/>
        <v>221.18969192350482</v>
      </c>
      <c r="J39">
        <f t="shared" si="6"/>
        <v>173.58081607593849</v>
      </c>
      <c r="K39">
        <f t="shared" si="6"/>
        <v>136.21927607733593</v>
      </c>
      <c r="L39">
        <f t="shared" si="6"/>
        <v>106.89943505574767</v>
      </c>
      <c r="M39">
        <f t="shared" si="6"/>
        <v>83.8903974849365</v>
      </c>
      <c r="N39">
        <f t="shared" si="6"/>
        <v>65.833825843051088</v>
      </c>
      <c r="O39">
        <f t="shared" si="6"/>
        <v>51.663751216716022</v>
      </c>
      <c r="P39">
        <f t="shared" si="6"/>
        <v>40.543643873075339</v>
      </c>
      <c r="Q39">
        <f t="shared" si="6"/>
        <v>31.8170287637748</v>
      </c>
      <c r="R39">
        <f t="shared" si="6"/>
        <v>24.968730549331507</v>
      </c>
      <c r="S39">
        <f t="shared" si="6"/>
        <v>19.594460245607021</v>
      </c>
      <c r="T39">
        <f t="shared" si="6"/>
        <v>15.376948041395449</v>
      </c>
      <c r="U39">
        <f t="shared" si="6"/>
        <v>12.067213289061455</v>
      </c>
      <c r="V39">
        <f t="shared" si="6"/>
        <v>9.4698659429486245</v>
      </c>
      <c r="W39">
        <f t="shared" si="6"/>
        <v>7.4315717166206756</v>
      </c>
      <c r="X39">
        <f t="shared" si="6"/>
        <v>5.8320000000000007</v>
      </c>
    </row>
    <row r="40" spans="4:24" x14ac:dyDescent="0.2">
      <c r="D40" s="33" t="s">
        <v>400</v>
      </c>
      <c r="E40">
        <f t="shared" ref="E40:X40" si="7">(E37+IF($E$26="Resistive", $E$25/$E$27,$E$27)) *(VINMAX-$E$25)</f>
        <v>147.30000000000001</v>
      </c>
      <c r="F40">
        <f t="shared" si="7"/>
        <v>115.91800367724305</v>
      </c>
      <c r="G40">
        <f t="shared" si="7"/>
        <v>91.290669173426636</v>
      </c>
      <c r="H40">
        <f t="shared" si="7"/>
        <v>71.964122878376159</v>
      </c>
      <c r="I40">
        <f t="shared" si="7"/>
        <v>56.797422980876213</v>
      </c>
      <c r="J40">
        <f t="shared" si="7"/>
        <v>44.895204018984622</v>
      </c>
      <c r="K40">
        <f t="shared" si="7"/>
        <v>35.554819019333991</v>
      </c>
      <c r="L40">
        <f t="shared" si="7"/>
        <v>28.224858763936922</v>
      </c>
      <c r="M40">
        <f t="shared" si="7"/>
        <v>22.472599371234129</v>
      </c>
      <c r="N40">
        <f t="shared" si="7"/>
        <v>17.958456460762772</v>
      </c>
      <c r="O40">
        <f t="shared" si="7"/>
        <v>14.415937804179006</v>
      </c>
      <c r="P40">
        <f t="shared" si="7"/>
        <v>11.635910968268835</v>
      </c>
      <c r="Q40">
        <f t="shared" si="7"/>
        <v>9.4542571909437001</v>
      </c>
      <c r="R40">
        <f t="shared" si="7"/>
        <v>7.7421826373328777</v>
      </c>
      <c r="S40">
        <f t="shared" si="7"/>
        <v>6.3986150614017543</v>
      </c>
      <c r="T40">
        <f t="shared" si="7"/>
        <v>5.3442370103488628</v>
      </c>
      <c r="U40">
        <f t="shared" si="7"/>
        <v>4.5168033222653641</v>
      </c>
      <c r="V40">
        <f t="shared" si="7"/>
        <v>3.8674664857371561</v>
      </c>
      <c r="W40">
        <f t="shared" si="7"/>
        <v>3.3578929291551689</v>
      </c>
      <c r="X40">
        <f t="shared" si="7"/>
        <v>2.9580000000000002</v>
      </c>
    </row>
    <row r="41" spans="4:24" x14ac:dyDescent="0.2">
      <c r="D41" s="33" t="s">
        <v>405</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
      <c r="D42" s="33" t="s">
        <v>407</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
      <c r="D44" s="33" t="s">
        <v>408</v>
      </c>
      <c r="E44">
        <f>MAX(E39,E40,E42)</f>
        <v>583.20000000000005</v>
      </c>
      <c r="F44">
        <f>MAX(F39,F40,F42)</f>
        <v>457.67201470897226</v>
      </c>
      <c r="G44">
        <f>MAX(G39,G40,G42)</f>
        <v>359.16267669370654</v>
      </c>
      <c r="H44">
        <f t="shared" ref="H44:J44" si="10">MAX(H39,H40,H42)</f>
        <v>281.85649151350464</v>
      </c>
      <c r="I44">
        <f t="shared" si="10"/>
        <v>221.18969192350482</v>
      </c>
      <c r="J44">
        <f t="shared" si="10"/>
        <v>173.58081607593849</v>
      </c>
      <c r="K44">
        <f>MAX(K39,K40,K42)</f>
        <v>136.21927607733593</v>
      </c>
      <c r="L44">
        <f t="shared" ref="L44:R44" si="11">MAX(L39,L40,L42)</f>
        <v>106.89943505574767</v>
      </c>
      <c r="M44">
        <f t="shared" si="11"/>
        <v>83.8903974849365</v>
      </c>
      <c r="N44">
        <f t="shared" si="11"/>
        <v>65.833825843051088</v>
      </c>
      <c r="O44">
        <f t="shared" si="11"/>
        <v>51.663751216716022</v>
      </c>
      <c r="P44">
        <f t="shared" si="11"/>
        <v>40.543643873075339</v>
      </c>
      <c r="Q44">
        <f t="shared" si="11"/>
        <v>31.8170287637748</v>
      </c>
      <c r="R44">
        <f t="shared" si="11"/>
        <v>24.968730549331507</v>
      </c>
      <c r="S44">
        <f t="shared" ref="S44:X44" si="12">MAX(S39,S40,S42)</f>
        <v>19.594460245607021</v>
      </c>
      <c r="T44">
        <f t="shared" si="12"/>
        <v>15.376948041395449</v>
      </c>
      <c r="U44">
        <f t="shared" si="12"/>
        <v>12.067213289061455</v>
      </c>
      <c r="V44">
        <f t="shared" si="12"/>
        <v>9.4698659429486245</v>
      </c>
      <c r="W44">
        <f t="shared" si="12"/>
        <v>7.4315717166206756</v>
      </c>
      <c r="X44">
        <f t="shared" si="12"/>
        <v>5.8320000000000007</v>
      </c>
    </row>
    <row r="45" spans="4:24" x14ac:dyDescent="0.2">
      <c r="D45" s="33" t="s">
        <v>409</v>
      </c>
      <c r="E45">
        <f>E38/E44*1000</f>
        <v>2.5012686965811959</v>
      </c>
      <c r="F45">
        <f>F38/F44*1000</f>
        <v>3.1877475442554695</v>
      </c>
      <c r="G45">
        <f>G38/G44*1000</f>
        <v>4.0627869579528326</v>
      </c>
      <c r="H45">
        <f t="shared" ref="H45:J45" si="13">H38/H44*1000</f>
        <v>5.1782769145641963</v>
      </c>
      <c r="I45">
        <f t="shared" si="13"/>
        <v>6.6004471340637245</v>
      </c>
      <c r="J45">
        <f t="shared" si="13"/>
        <v>8.4138672434485091</v>
      </c>
      <c r="K45">
        <f>K38/K44*1000</f>
        <v>10.726585960410809</v>
      </c>
      <c r="L45">
        <f t="shared" ref="L45" si="14">L38/L44*1000</f>
        <v>13.676747821905668</v>
      </c>
      <c r="M45">
        <f t="shared" ref="M45:N45" si="15">M38/M44*1000</f>
        <v>17.44113512514739</v>
      </c>
      <c r="N45">
        <f t="shared" si="15"/>
        <v>22.246231989396538</v>
      </c>
      <c r="O45">
        <f t="shared" ref="O45" si="16">O38/O44*1000</f>
        <v>28.38261412390381</v>
      </c>
      <c r="P45">
        <f t="shared" ref="P45" si="17">P38/P44*1000</f>
        <v>36.223758048144965</v>
      </c>
      <c r="Q45">
        <f t="shared" ref="Q45:R45" si="18">Q38/Q44*1000</f>
        <v>46.2507767681359</v>
      </c>
      <c r="R45">
        <f t="shared" si="18"/>
        <v>59.085186171979288</v>
      </c>
      <c r="S45">
        <f t="shared" ref="S45" si="19">S38/S44*1000</f>
        <v>75.532682209171796</v>
      </c>
      <c r="T45">
        <f t="shared" ref="T45:U45" si="20">T38/T44*1000</f>
        <v>96.642211223799407</v>
      </c>
      <c r="U45">
        <f t="shared" si="20"/>
        <v>123.78657780675589</v>
      </c>
      <c r="V45">
        <f t="shared" ref="V45" si="21">V38/V44*1000</f>
        <v>158.77382584502641</v>
      </c>
      <c r="W45">
        <f t="shared" ref="W45" si="22">W38/W44*1000</f>
        <v>204.00323778702028</v>
      </c>
      <c r="X45">
        <f t="shared" ref="X45" si="23">X38/X44*1000</f>
        <v>262.68696581196576</v>
      </c>
    </row>
    <row r="47" spans="4:24" x14ac:dyDescent="0.2">
      <c r="D47" s="33" t="s">
        <v>186</v>
      </c>
      <c r="E47">
        <f>IF(E45&lt;$J$23,$J$24,IF(E45&lt;$K$23,$K$24,IF(E45&lt;$L$23,$L$24,$M$24)))</f>
        <v>7</v>
      </c>
      <c r="F47">
        <f>IF(F45&lt;$J$23,$J$24,IF(F45&lt;$K$23,$K$24,IF(F45&lt;$L$23,$L$24,$M$24)))</f>
        <v>7</v>
      </c>
      <c r="G47">
        <f>IF(G45&lt;$J$23,$J$24,IF(G45&lt;$K$23,$K$24,IF(G45&lt;$L$23,$L$24,$M$24)))</f>
        <v>7</v>
      </c>
      <c r="H47">
        <f t="shared" ref="H47:I47" si="24">IF(H45&lt;$J$23,$J$24,IF(H45&lt;$K$23,$K$24,IF(H45&lt;$L$23,$L$24,$M$24)))</f>
        <v>7</v>
      </c>
      <c r="I47">
        <f t="shared" si="24"/>
        <v>7</v>
      </c>
      <c r="J47">
        <f>IF(J45&lt;$J$23,$J$24,IF(J45&lt;$K$23,$K$24,IF(J45&lt;$L$23,$L$24,$M$24)))</f>
        <v>7</v>
      </c>
      <c r="K47">
        <f>IF(K45&lt;$J$23,$J$24,IF(K45&lt;$K$23,$K$24,IF(K45&lt;$L$23,$L$24,$M$24)))</f>
        <v>5.7142857142857153</v>
      </c>
      <c r="L47">
        <f t="shared" ref="L47:R47" si="25">IF(L45&lt;$J$23,$J$24,IF(L45&lt;$K$23,$K$24,IF(L45&lt;$L$23,$L$24,$M$24)))</f>
        <v>5.7142857142857153</v>
      </c>
      <c r="M47">
        <f t="shared" si="25"/>
        <v>5.7142857142857153</v>
      </c>
      <c r="N47">
        <f t="shared" si="25"/>
        <v>5.7142857142857153</v>
      </c>
      <c r="O47">
        <f t="shared" si="25"/>
        <v>5.7142857142857153</v>
      </c>
      <c r="P47">
        <f t="shared" si="25"/>
        <v>5.7142857142857153</v>
      </c>
      <c r="Q47">
        <f t="shared" si="25"/>
        <v>5.7142857142857153</v>
      </c>
      <c r="R47">
        <f t="shared" si="25"/>
        <v>5.7142857142857153</v>
      </c>
      <c r="S47">
        <f t="shared" ref="S47:X47" si="26">IF(S45&lt;$J$23,$J$24,IF(S45&lt;$K$23,$K$24,IF(S45&lt;$L$23,$L$24,$M$24)))</f>
        <v>5.7142857142857153</v>
      </c>
      <c r="T47">
        <f t="shared" si="26"/>
        <v>5.7142857142857153</v>
      </c>
      <c r="U47">
        <f t="shared" si="26"/>
        <v>0.7</v>
      </c>
      <c r="V47">
        <f t="shared" si="26"/>
        <v>0.7</v>
      </c>
      <c r="W47">
        <f t="shared" si="26"/>
        <v>0.7</v>
      </c>
      <c r="X47">
        <f t="shared" si="26"/>
        <v>0.7</v>
      </c>
    </row>
    <row r="48" spans="4:24" x14ac:dyDescent="0.2">
      <c r="D48" s="33" t="s">
        <v>187</v>
      </c>
      <c r="E48">
        <f>IF(E45&lt;$J$23,$J$25,IF(E45&lt;$K$23,$K$25,IF(E45&lt;$L$23,$L$25,$M$25)))</f>
        <v>-0.54406804435027567</v>
      </c>
      <c r="F48">
        <f>IF(F45&lt;$J$23,$J$25,IF(F45&lt;$K$23,$K$25,IF(F45&lt;$L$23,$L$25,$M$25)))</f>
        <v>-0.54406804435027567</v>
      </c>
      <c r="G48">
        <f>IF(G45&lt;$J$23,$J$25,IF(G45&lt;$K$23,$K$25,IF(G45&lt;$L$23,$L$25,$M$25)))</f>
        <v>-0.54406804435027567</v>
      </c>
      <c r="H48">
        <f t="shared" ref="H48:J48" si="27">IF(H45&lt;$J$23,$J$25,IF(H45&lt;$K$23,$K$25,IF(H45&lt;$L$23,$L$25,$M$25)))</f>
        <v>-0.54406804435027567</v>
      </c>
      <c r="I48">
        <f t="shared" si="27"/>
        <v>-0.54406804435027567</v>
      </c>
      <c r="J48">
        <f t="shared" si="27"/>
        <v>-0.54406804435027567</v>
      </c>
      <c r="K48">
        <f>IF(K45&lt;$J$23,$J$25,IF(K45&lt;$K$23,$K$25,IF(K45&lt;$L$23,$L$25,$M$25)))</f>
        <v>-0.45593195564972439</v>
      </c>
      <c r="L48">
        <f t="shared" ref="L48:R48" si="28">IF(L45&lt;$J$23,$J$25,IF(L45&lt;$K$23,$K$25,IF(L45&lt;$L$23,$L$25,$M$25)))</f>
        <v>-0.45593195564972439</v>
      </c>
      <c r="M48">
        <f t="shared" si="28"/>
        <v>-0.45593195564972439</v>
      </c>
      <c r="N48">
        <f t="shared" si="28"/>
        <v>-0.45593195564972439</v>
      </c>
      <c r="O48">
        <f t="shared" si="28"/>
        <v>-0.45593195564972439</v>
      </c>
      <c r="P48">
        <f t="shared" si="28"/>
        <v>-0.45593195564972439</v>
      </c>
      <c r="Q48">
        <f t="shared" si="28"/>
        <v>-0.45593195564972439</v>
      </c>
      <c r="R48">
        <f t="shared" si="28"/>
        <v>-0.45593195564972439</v>
      </c>
      <c r="S48">
        <f t="shared" ref="S48:X48" si="29">IF(S45&lt;$J$23,$J$25,IF(S45&lt;$K$23,$K$25,IF(S45&lt;$L$23,$L$25,$M$25)))</f>
        <v>-0.45593195564972439</v>
      </c>
      <c r="T48">
        <f t="shared" si="29"/>
        <v>-0.45593195564972439</v>
      </c>
      <c r="U48">
        <f t="shared" si="29"/>
        <v>0</v>
      </c>
      <c r="V48">
        <f t="shared" si="29"/>
        <v>0</v>
      </c>
      <c r="W48">
        <f t="shared" si="29"/>
        <v>0</v>
      </c>
      <c r="X48">
        <f t="shared" si="29"/>
        <v>0</v>
      </c>
    </row>
    <row r="50" spans="4:25" x14ac:dyDescent="0.2">
      <c r="D50" s="33" t="s">
        <v>417</v>
      </c>
      <c r="E50">
        <f t="shared" ref="E50:X50" si="30">E47*E45^E48*VINMAX</f>
        <v>255.04861444177484</v>
      </c>
      <c r="F50">
        <f t="shared" si="30"/>
        <v>223.5217447471714</v>
      </c>
      <c r="G50">
        <f t="shared" si="30"/>
        <v>195.88788642873135</v>
      </c>
      <c r="H50">
        <f t="shared" si="30"/>
        <v>171.66584935598308</v>
      </c>
      <c r="I50">
        <f t="shared" si="30"/>
        <v>150.43386610339846</v>
      </c>
      <c r="J50">
        <f>J47*J45^J48*VINMAX</f>
        <v>131.82224790183537</v>
      </c>
      <c r="K50">
        <f t="shared" si="30"/>
        <v>116.22321017707085</v>
      </c>
      <c r="L50">
        <f t="shared" si="30"/>
        <v>104.03568336353325</v>
      </c>
      <c r="M50">
        <f t="shared" si="30"/>
        <v>93.119277847022673</v>
      </c>
      <c r="N50">
        <f t="shared" si="30"/>
        <v>83.340466727780438</v>
      </c>
      <c r="O50">
        <f t="shared" si="30"/>
        <v>74.579622814486228</v>
      </c>
      <c r="P50">
        <f t="shared" si="30"/>
        <v>66.729557416696466</v>
      </c>
      <c r="Q50">
        <f t="shared" si="30"/>
        <v>59.694212259991737</v>
      </c>
      <c r="R50">
        <f t="shared" si="30"/>
        <v>53.387489058517929</v>
      </c>
      <c r="S50">
        <f t="shared" si="30"/>
        <v>47.732203176063415</v>
      </c>
      <c r="T50">
        <f t="shared" si="30"/>
        <v>42.659149607005176</v>
      </c>
      <c r="U50">
        <f t="shared" si="30"/>
        <v>42</v>
      </c>
      <c r="V50">
        <f t="shared" si="30"/>
        <v>42</v>
      </c>
      <c r="W50">
        <f>W47*W45^W48*VINMAX</f>
        <v>42</v>
      </c>
      <c r="X50">
        <f t="shared" si="30"/>
        <v>42</v>
      </c>
    </row>
    <row r="51" spans="4:25" x14ac:dyDescent="0.2">
      <c r="D51" s="33" t="s">
        <v>418</v>
      </c>
      <c r="E51">
        <f t="shared" ref="E51:X51" si="31">E50*(TJMAX-$E$19)/(TJMAX - 25)</f>
        <v>113.80835951090754</v>
      </c>
      <c r="F51">
        <f t="shared" si="31"/>
        <v>99.740369656071152</v>
      </c>
      <c r="G51">
        <f t="shared" si="31"/>
        <v>87.409527988642793</v>
      </c>
      <c r="H51">
        <f t="shared" si="31"/>
        <v>76.601116779292013</v>
      </c>
      <c r="I51">
        <f t="shared" si="31"/>
        <v>67.126934030138685</v>
      </c>
      <c r="J51">
        <f t="shared" si="31"/>
        <v>58.822016397085655</v>
      </c>
      <c r="K51">
        <f t="shared" si="31"/>
        <v>51.861379119012952</v>
      </c>
      <c r="L51">
        <f t="shared" si="31"/>
        <v>46.423033820883283</v>
      </c>
      <c r="M51">
        <f t="shared" si="31"/>
        <v>41.55189109262701</v>
      </c>
      <c r="N51">
        <f t="shared" si="31"/>
        <v>37.188368264307364</v>
      </c>
      <c r="O51">
        <f t="shared" si="31"/>
        <v>33.279085024775192</v>
      </c>
      <c r="P51">
        <f t="shared" si="31"/>
        <v>29.776211398383669</v>
      </c>
      <c r="Q51">
        <f t="shared" si="31"/>
        <v>26.636884048458537</v>
      </c>
      <c r="R51">
        <f t="shared" si="31"/>
        <v>23.822684006556447</v>
      </c>
      <c r="S51">
        <f t="shared" si="31"/>
        <v>21.299169772785632</v>
      </c>
      <c r="T51">
        <f t="shared" si="31"/>
        <v>19.03546053574809</v>
      </c>
      <c r="U51">
        <f t="shared" si="31"/>
        <v>18.741333333333333</v>
      </c>
      <c r="V51">
        <f t="shared" si="31"/>
        <v>18.741333333333333</v>
      </c>
      <c r="W51">
        <f t="shared" si="31"/>
        <v>18.741333333333333</v>
      </c>
      <c r="X51">
        <f t="shared" si="31"/>
        <v>18.741333333333333</v>
      </c>
    </row>
    <row r="52" spans="4:25" x14ac:dyDescent="0.2">
      <c r="D52" s="33" t="s">
        <v>420</v>
      </c>
      <c r="E52">
        <f>E51/E44</f>
        <v>0.19514464936712539</v>
      </c>
      <c r="F52">
        <f>F51/F44</f>
        <v>0.21792979786953934</v>
      </c>
      <c r="G52">
        <f>G51/G44</f>
        <v>0.24337029892219431</v>
      </c>
      <c r="H52">
        <f t="shared" ref="H52:J52" si="32">H51/H44</f>
        <v>0.27177347013709569</v>
      </c>
      <c r="I52">
        <f t="shared" si="32"/>
        <v>0.30348129447801547</v>
      </c>
      <c r="J52">
        <f t="shared" si="32"/>
        <v>0.33887394774865026</v>
      </c>
      <c r="K52">
        <f>K51/K44</f>
        <v>0.38071982624228329</v>
      </c>
      <c r="L52">
        <f t="shared" ref="L52" si="33">L51/L44</f>
        <v>0.43426828024557695</v>
      </c>
      <c r="M52">
        <f t="shared" ref="M52:N52" si="34">M51/M44</f>
        <v>0.4953116487508375</v>
      </c>
      <c r="N52">
        <f t="shared" si="34"/>
        <v>0.56488238057081841</v>
      </c>
      <c r="O52">
        <f t="shared" ref="O52" si="35">O51/O44</f>
        <v>0.64414767106589044</v>
      </c>
      <c r="P52">
        <f t="shared" ref="P52" si="36">P51/P44</f>
        <v>0.73442366185930752</v>
      </c>
      <c r="Q52">
        <f t="shared" ref="Q52:R52" si="37">Q51/Q44</f>
        <v>0.83718955174047849</v>
      </c>
      <c r="R52">
        <f t="shared" si="37"/>
        <v>0.95410072848874794</v>
      </c>
      <c r="S52">
        <f t="shared" ref="S52" si="38">S51/S44</f>
        <v>1.0869995654797788</v>
      </c>
      <c r="T52">
        <f t="shared" ref="T52:U52" si="39">T51/T44</f>
        <v>1.2379218870027886</v>
      </c>
      <c r="U52">
        <f t="shared" si="39"/>
        <v>1.5530788164921023</v>
      </c>
      <c r="V52">
        <f t="shared" ref="V52" si="40">V51/V44</f>
        <v>1.979049486681314</v>
      </c>
      <c r="W52">
        <f t="shared" ref="W52" si="41">W51/W44</f>
        <v>2.5218532563466258</v>
      </c>
      <c r="X52">
        <f t="shared" ref="X52" si="42">X51/X44</f>
        <v>3.2135345221764973</v>
      </c>
    </row>
    <row r="54" spans="4:25" x14ac:dyDescent="0.2">
      <c r="D54" s="33" t="s">
        <v>424</v>
      </c>
      <c r="E54" t="str">
        <f>IF(E52&gt;$E$20, "Y", "N")</f>
        <v>N</v>
      </c>
      <c r="F54" t="str">
        <f t="shared" ref="F54:X54" si="43">IF(F52&gt;$E$20, "Y", "N")</f>
        <v>N</v>
      </c>
      <c r="G54" t="str">
        <f t="shared" si="43"/>
        <v>N</v>
      </c>
      <c r="H54" t="str">
        <f t="shared" si="43"/>
        <v>N</v>
      </c>
      <c r="I54" t="str">
        <f t="shared" si="43"/>
        <v>N</v>
      </c>
      <c r="J54" t="str">
        <f t="shared" si="43"/>
        <v>N</v>
      </c>
      <c r="K54" t="str">
        <f t="shared" si="43"/>
        <v>N</v>
      </c>
      <c r="L54" t="str">
        <f t="shared" si="43"/>
        <v>N</v>
      </c>
      <c r="M54" t="str">
        <f t="shared" si="43"/>
        <v>N</v>
      </c>
      <c r="N54" t="str">
        <f t="shared" si="43"/>
        <v>N</v>
      </c>
      <c r="O54" t="str">
        <f t="shared" si="43"/>
        <v>N</v>
      </c>
      <c r="P54" t="str">
        <f t="shared" si="43"/>
        <v>N</v>
      </c>
      <c r="Q54" t="str">
        <f t="shared" si="43"/>
        <v>N</v>
      </c>
      <c r="R54" t="str">
        <f t="shared" si="43"/>
        <v>N</v>
      </c>
      <c r="S54" t="str">
        <f t="shared" si="43"/>
        <v>N</v>
      </c>
      <c r="T54" t="str">
        <f t="shared" si="43"/>
        <v>N</v>
      </c>
      <c r="U54" t="str">
        <f t="shared" si="43"/>
        <v>Y</v>
      </c>
      <c r="V54" t="str">
        <f t="shared" si="43"/>
        <v>Y</v>
      </c>
      <c r="W54" t="str">
        <f t="shared" si="43"/>
        <v>Y</v>
      </c>
      <c r="X54" t="str">
        <f t="shared" si="43"/>
        <v>Y</v>
      </c>
      <c r="Y54" t="s">
        <v>427</v>
      </c>
    </row>
    <row r="55" spans="4:25" x14ac:dyDescent="0.2">
      <c r="D55" s="33" t="s">
        <v>425</v>
      </c>
      <c r="E55">
        <f>IF(E54="Y", 1, 0)</f>
        <v>0</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1</v>
      </c>
      <c r="V55">
        <f t="shared" si="44"/>
        <v>0</v>
      </c>
      <c r="W55">
        <f t="shared" si="44"/>
        <v>0</v>
      </c>
      <c r="X55">
        <f t="shared" si="44"/>
        <v>0</v>
      </c>
    </row>
    <row r="56" spans="4:25" x14ac:dyDescent="0.2">
      <c r="D56" s="33" t="s">
        <v>426</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x14ac:dyDescent="0.2">
      <c r="D58" t="s">
        <v>428</v>
      </c>
      <c r="E58">
        <f>E55*E35</f>
        <v>0</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0.24829656973377476</v>
      </c>
      <c r="V58">
        <f t="shared" si="46"/>
        <v>0</v>
      </c>
      <c r="W58">
        <f t="shared" si="46"/>
        <v>0</v>
      </c>
      <c r="X58">
        <f t="shared" si="46"/>
        <v>0</v>
      </c>
    </row>
    <row r="59" spans="4:25" x14ac:dyDescent="0.2">
      <c r="D59" t="s">
        <v>429</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0.12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E2E466-1778-444A-875B-984896DCE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BABF7D0-BF3C-434F-A857-BC6AE8086814}">
  <ds:schemaRefs>
    <ds:schemaRef ds:uri="http://schemas.microsoft.com/sharepoint/v3/contenttype/forms"/>
  </ds:schemaRefs>
</ds:datastoreItem>
</file>

<file path=customXml/itemProps3.xml><?xml version="1.0" encoding="utf-8"?>
<ds:datastoreItem xmlns:ds="http://schemas.openxmlformats.org/officeDocument/2006/customXml" ds:itemID="{C7BC8CF0-B24A-4CAA-85F9-D802C37E37E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Instructions_Disclaimer</vt:lpstr>
      <vt:lpstr>Design Calculator</vt:lpstr>
      <vt:lpstr>Device Parameters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LM25066/I Design Tool</dc:title>
  <dc:creator>a-rogachev@ti.com</dc:creator>
  <cp:lastModifiedBy>Ali Abedini</cp:lastModifiedBy>
  <cp:lastPrinted>2013-08-26T22:42:43Z</cp:lastPrinted>
  <dcterms:created xsi:type="dcterms:W3CDTF">2009-04-21T16:00:33Z</dcterms:created>
  <dcterms:modified xsi:type="dcterms:W3CDTF">2019-11-06T14:56:13Z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