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BAYTOP-FAN CARDS DOCS\4U Chassis BT and FAN CARD\HOT swap_LM5067\LM5067 Design Tools-PSMN4R8-100BSE-Final\"/>
    </mc:Choice>
  </mc:AlternateContent>
  <bookViews>
    <workbookView xWindow="1485" yWindow="1110" windowWidth="10800" windowHeight="4830"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FET Data" sheetId="5" state="hidden" r:id="rId6"/>
    <sheet name="SOA" sheetId="7" state="hidden" r:id="rId7"/>
    <sheet name="dv_dt_recommendations" sheetId="14" state="hidden" r:id="rId8"/>
  </sheets>
  <externalReferences>
    <externalReference r:id="rId9"/>
    <externalReference r:id="rId10"/>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Calculator'!$F$45</definedName>
    <definedName name="I_Cout_ss">Equations!$F$65</definedName>
    <definedName name="ILIM" localSheetId="6">[1]ILIM_SOA_considerations!$C$25</definedName>
    <definedName name="ILIM">[2]ILIM_SOA_considerations!$C$25</definedName>
    <definedName name="Ilim_min" localSheetId="6">[1]ILIM_SOA_considerations!$C$61</definedName>
    <definedName name="Ilim_min">[2]ILIM_SOA_considerations!$C$61</definedName>
    <definedName name="IOUTMAX">'Design Calculator'!$F$17</definedName>
    <definedName name="MaxFETPW">'Design Calculator'!#REF!</definedName>
    <definedName name="NUMFETS">'Design Calculator'!$F$37</definedName>
    <definedName name="PLIM" localSheetId="6">[1]ILIM_SOA_considerations!$C$40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Calculator'!$A$1:$M$190</definedName>
    <definedName name="RDIV1">'Design Calculator'!$F$26</definedName>
    <definedName name="RDIV2">'Design Calculator'!$F$27</definedName>
    <definedName name="RDSON">'Design Calculator'!$AN$38</definedName>
    <definedName name="RPWR">'Design Calculator'!$F$50</definedName>
    <definedName name="Rrflt" localSheetId="6">[1]ILIM_SOA_considerations!$C$46</definedName>
    <definedName name="Rrflt">[2]ILIM_SOA_considerations!$C$46</definedName>
    <definedName name="Rs">'Design Calculator'!$F$23</definedName>
    <definedName name="RsEFF">Equations!$F$23</definedName>
    <definedName name="Rsense" localSheetId="6">[1]ILIM_SOA_considerations!$C$30</definedName>
    <definedName name="Rsense">[2]ILIM_SOA_considerations!$C$30</definedName>
    <definedName name="RsMAX">'Design Calculator'!$F$21</definedName>
    <definedName name="SOA_av" localSheetId="6">[1]ILIM_SOA_considerations!$C$52</definedName>
    <definedName name="SOA_av">[2]ILIM_SOA_considerations!$C$52</definedName>
    <definedName name="solver_adj" localSheetId="6" hidden="1">SOA!#REF!</definedName>
    <definedName name="solver_cvg" localSheetId="6" hidden="1">0.0001</definedName>
    <definedName name="solver_drv" localSheetId="6" hidden="1">1</definedName>
    <definedName name="solver_eng" localSheetId="6" hidden="1">1</definedName>
    <definedName name="solver_est" localSheetId="6" hidden="1">1</definedName>
    <definedName name="solver_itr" localSheetId="6" hidden="1">2147483647</definedName>
    <definedName name="solver_mip" localSheetId="6" hidden="1">2147483647</definedName>
    <definedName name="solver_mni" localSheetId="6" hidden="1">30</definedName>
    <definedName name="solver_mrt" localSheetId="6" hidden="1">0.075</definedName>
    <definedName name="solver_msl" localSheetId="6" hidden="1">2</definedName>
    <definedName name="solver_neg" localSheetId="6" hidden="1">1</definedName>
    <definedName name="solver_nod" localSheetId="6" hidden="1">2147483647</definedName>
    <definedName name="solver_num" localSheetId="6" hidden="1">0</definedName>
    <definedName name="solver_nwt" localSheetId="6" hidden="1">1</definedName>
    <definedName name="solver_opt" localSheetId="6" hidden="1">SOA!#REF!</definedName>
    <definedName name="solver_pre" localSheetId="6" hidden="1">0.000001</definedName>
    <definedName name="solver_rbv" localSheetId="6" hidden="1">1</definedName>
    <definedName name="solver_rlx" localSheetId="6" hidden="1">2</definedName>
    <definedName name="solver_rsd" localSheetId="6" hidden="1">0</definedName>
    <definedName name="solver_scl" localSheetId="6" hidden="1">1</definedName>
    <definedName name="solver_sho" localSheetId="6" hidden="1">2</definedName>
    <definedName name="solver_ssz" localSheetId="6" hidden="1">100</definedName>
    <definedName name="solver_tim" localSheetId="6" hidden="1">2147483647</definedName>
    <definedName name="solver_tol" localSheetId="6" hidden="1">0.01</definedName>
    <definedName name="solver_typ" localSheetId="6" hidden="1">3</definedName>
    <definedName name="solver_val" localSheetId="6" hidden="1">0</definedName>
    <definedName name="solver_ver" localSheetId="6" hidden="1">3</definedName>
    <definedName name="ss_rate">Equations!$F$61</definedName>
    <definedName name="T_cap_charge" localSheetId="6">[1]ILIM_SOA_considerations!$C$45</definedName>
    <definedName name="T_cap_charge">[2]ILIM_SOA_considerations!$C$45</definedName>
    <definedName name="T_margin" localSheetId="6">[1]ILIM_SOA_considerations!$C$9</definedName>
    <definedName name="T_margin">[2]ILIM_SOA_considerations!$C$9</definedName>
    <definedName name="T_total" localSheetId="6">[1]ILIM_SOA_considerations!$C$47</definedName>
    <definedName name="T_total">[2]ILIM_SOA_considerations!$C$47</definedName>
    <definedName name="TAMB">'Design Calculator'!$F$19</definedName>
    <definedName name="Tfault">'Design Calculator'!$F$61</definedName>
    <definedName name="Tfaultmax">'Design Calculator'!#REF!</definedName>
    <definedName name="ThetaJA">'Design Calculator'!$F$36</definedName>
    <definedName name="TINSERT">'Design Calculator'!$F$76</definedName>
    <definedName name="TINSERTMAX">Equations!$F$108</definedName>
    <definedName name="TINSERTMIN">Equations!$F$106</definedName>
    <definedName name="TJ">'Design Calculator'!$F$46</definedName>
    <definedName name="TJMAX">'Design Calculator'!$AN$39</definedName>
    <definedName name="Tsd" localSheetId="6">[1]ILIM_SOA_considerations!$C$67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6">[1]ILIM_SOA_considerations!$C$15</definedName>
    <definedName name="V_sns_cl_max">[2]ILIM_SOA_considerations!$C$15</definedName>
    <definedName name="Vbus" localSheetId="6">[1]ILIM_SOA_considerations!$C$23</definedName>
    <definedName name="Vbus">[2]ILIM_SOA_considerations!$C$23</definedName>
    <definedName name="VINMAX">'Design Calculator'!$F$16</definedName>
    <definedName name="VINMAX_P">'Design Calculator'!$AN$16</definedName>
    <definedName name="VINMIN">'Design Calculator'!$F$14</definedName>
    <definedName name="VINMIN_P">'Design Calculator'!$AN$14</definedName>
    <definedName name="VINMINP">'Design Calculator'!$AN$14</definedName>
    <definedName name="VINNOM">'Design Calculator'!$F$15</definedName>
    <definedName name="VINNOM_P">'Design Calculator'!$AN$15</definedName>
  </definedNames>
  <calcPr calcId="152511"/>
</workbook>
</file>

<file path=xl/calcChain.xml><?xml version="1.0" encoding="utf-8"?>
<calcChain xmlns="http://schemas.openxmlformats.org/spreadsheetml/2006/main">
  <c r="F130" i="1" l="1"/>
  <c r="K135" i="1" s="1"/>
  <c r="AN38" i="1" l="1"/>
  <c r="F45" i="1" s="1"/>
  <c r="F46" i="1" s="1"/>
  <c r="AN39" i="1"/>
  <c r="AN40" i="1"/>
  <c r="B4" i="7" s="1"/>
  <c r="AN41" i="1"/>
  <c r="C4" i="7" s="1"/>
  <c r="AN42" i="1"/>
  <c r="AN43" i="1"/>
  <c r="AN44" i="1"/>
  <c r="I64" i="3" l="1"/>
  <c r="F126" i="1"/>
  <c r="F129" i="1" l="1"/>
  <c r="F128" i="1"/>
  <c r="F127" i="1"/>
  <c r="F124" i="1"/>
  <c r="F125" i="1"/>
  <c r="F134" i="1"/>
  <c r="F135" i="1"/>
  <c r="F123" i="1"/>
  <c r="K126" i="1"/>
  <c r="F20" i="1" l="1"/>
  <c r="G143" i="3" l="1"/>
  <c r="G142" i="3"/>
  <c r="G141" i="3"/>
  <c r="G140" i="3"/>
  <c r="G139" i="3"/>
  <c r="G138" i="3"/>
  <c r="G137" i="3"/>
  <c r="G136" i="3"/>
  <c r="G135" i="3"/>
  <c r="G134" i="3"/>
  <c r="G133" i="3"/>
  <c r="G132" i="3"/>
  <c r="F143" i="3"/>
  <c r="F142" i="3"/>
  <c r="F141" i="3"/>
  <c r="F140" i="3"/>
  <c r="F139" i="3"/>
  <c r="F138" i="3"/>
  <c r="F137" i="3"/>
  <c r="F136" i="3"/>
  <c r="F135" i="3"/>
  <c r="F134" i="3"/>
  <c r="F133" i="3"/>
  <c r="F132" i="3"/>
  <c r="D112" i="1" s="1"/>
  <c r="AP98" i="1"/>
  <c r="AP99" i="1"/>
  <c r="AP100" i="1"/>
  <c r="AP101" i="1"/>
  <c r="E114" i="1" l="1"/>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N16" i="1"/>
  <c r="E43" i="5" s="1"/>
  <c r="AN15" i="1"/>
  <c r="AN14" i="1"/>
  <c r="G128" i="3" l="1"/>
  <c r="G129" i="3" s="1"/>
  <c r="G130" i="3"/>
  <c r="F128" i="3" l="1"/>
  <c r="F130" i="3" s="1"/>
  <c r="F129" i="3" s="1"/>
  <c r="G131" i="3"/>
  <c r="F113" i="3" l="1"/>
  <c r="E21" i="14" l="1"/>
  <c r="F177" i="3"/>
  <c r="E268" i="3"/>
  <c r="H9" i="7"/>
  <c r="F35" i="3" l="1"/>
  <c r="F33" i="3"/>
  <c r="F34" i="3"/>
  <c r="C9" i="7"/>
  <c r="F36" i="3"/>
  <c r="D26" i="6"/>
  <c r="E16" i="3" l="1"/>
  <c r="E15" i="3"/>
  <c r="E17" i="3"/>
  <c r="E30" i="14" l="1"/>
  <c r="E29" i="14"/>
  <c r="E35" i="14" s="1"/>
  <c r="E26" i="14"/>
  <c r="E27" i="14"/>
  <c r="E25" i="14"/>
  <c r="F4" i="7"/>
  <c r="E32" i="14" l="1"/>
  <c r="F35" i="14" s="1"/>
  <c r="F37" i="14" s="1"/>
  <c r="F41" i="14" s="1"/>
  <c r="F42" i="14" s="1"/>
  <c r="E37" i="14"/>
  <c r="E40" i="14" s="1"/>
  <c r="E36" i="14"/>
  <c r="C33" i="7"/>
  <c r="C32" i="7" s="1"/>
  <c r="J24" i="14" s="1"/>
  <c r="E59" i="14"/>
  <c r="E41" i="14"/>
  <c r="E42" i="14" s="1"/>
  <c r="F61" i="3"/>
  <c r="F62" i="3" s="1"/>
  <c r="E39" i="14" l="1"/>
  <c r="E44" i="14" s="1"/>
  <c r="G35" i="14"/>
  <c r="G37" i="14" s="1"/>
  <c r="J25" i="14"/>
  <c r="F36" i="14"/>
  <c r="H35" i="14"/>
  <c r="F40" i="14"/>
  <c r="F39" i="14"/>
  <c r="F77" i="3"/>
  <c r="F78" i="3" s="1"/>
  <c r="F75" i="3"/>
  <c r="F2" i="13"/>
  <c r="H23" i="7"/>
  <c r="H24" i="7" s="1"/>
  <c r="E19" i="14" s="1"/>
  <c r="G36" i="14" l="1"/>
  <c r="G40" i="14"/>
  <c r="G39" i="14"/>
  <c r="G41" i="14"/>
  <c r="G42" i="14" s="1"/>
  <c r="I35" i="14"/>
  <c r="H37" i="14"/>
  <c r="H36" i="14"/>
  <c r="F44" i="14"/>
  <c r="G44" i="14" l="1"/>
  <c r="J35" i="14"/>
  <c r="I37" i="14"/>
  <c r="I36" i="14"/>
  <c r="H39" i="14"/>
  <c r="H40" i="14"/>
  <c r="H41" i="14"/>
  <c r="H42" i="14" s="1"/>
  <c r="H44" i="14" l="1"/>
  <c r="I39" i="14"/>
  <c r="I41" i="14"/>
  <c r="I42" i="14" s="1"/>
  <c r="I40" i="14"/>
  <c r="K35" i="14"/>
  <c r="J36" i="14"/>
  <c r="J37" i="14"/>
  <c r="F74" i="1"/>
  <c r="F76" i="3"/>
  <c r="F72" i="1" s="1"/>
  <c r="J40" i="14" l="1"/>
  <c r="J41" i="14"/>
  <c r="J42" i="14" s="1"/>
  <c r="J39" i="14"/>
  <c r="I44" i="14"/>
  <c r="L35" i="14"/>
  <c r="K36" i="14"/>
  <c r="K37" i="14"/>
  <c r="F63" i="3"/>
  <c r="R2" i="13"/>
  <c r="Q2" i="13"/>
  <c r="H2" i="13"/>
  <c r="C77" i="13" l="1"/>
  <c r="C45" i="13"/>
  <c r="C17" i="13"/>
  <c r="C75" i="13"/>
  <c r="C59" i="13"/>
  <c r="C43" i="13"/>
  <c r="C27" i="13"/>
  <c r="C10" i="13"/>
  <c r="C57" i="13"/>
  <c r="C25" i="13"/>
  <c r="C76" i="13"/>
  <c r="C56" i="13"/>
  <c r="C40" i="13"/>
  <c r="C24" i="13"/>
  <c r="C78" i="13"/>
  <c r="C62" i="13"/>
  <c r="C46" i="13"/>
  <c r="C30" i="13"/>
  <c r="C14" i="13"/>
  <c r="C61" i="13"/>
  <c r="C29" i="13"/>
  <c r="C11" i="13"/>
  <c r="C67" i="13"/>
  <c r="C51" i="13"/>
  <c r="C35" i="13"/>
  <c r="C19" i="13"/>
  <c r="C73" i="13"/>
  <c r="C41" i="13"/>
  <c r="C12" i="13"/>
  <c r="C64" i="13"/>
  <c r="C48" i="13"/>
  <c r="C32" i="13"/>
  <c r="C16" i="13"/>
  <c r="C70" i="13"/>
  <c r="C54" i="13"/>
  <c r="C38" i="13"/>
  <c r="C22" i="13"/>
  <c r="C53" i="13"/>
  <c r="C79" i="13"/>
  <c r="C47" i="13"/>
  <c r="C33" i="13"/>
  <c r="C44" i="13"/>
  <c r="C50" i="13"/>
  <c r="C18" i="13"/>
  <c r="C69" i="13"/>
  <c r="C37" i="13"/>
  <c r="C72" i="13"/>
  <c r="C71" i="13"/>
  <c r="C55" i="13"/>
  <c r="C39" i="13"/>
  <c r="C23" i="13"/>
  <c r="C49" i="13"/>
  <c r="C13" i="13"/>
  <c r="C68" i="13"/>
  <c r="C52" i="13"/>
  <c r="C36" i="13"/>
  <c r="C20" i="13"/>
  <c r="C74" i="13"/>
  <c r="C58" i="13"/>
  <c r="C42" i="13"/>
  <c r="C26" i="13"/>
  <c r="C21" i="13"/>
  <c r="C63" i="13"/>
  <c r="C31" i="13"/>
  <c r="C15" i="13"/>
  <c r="C65" i="13"/>
  <c r="C60" i="13"/>
  <c r="C28" i="13"/>
  <c r="C66" i="13"/>
  <c r="C34" i="13"/>
  <c r="J44" i="14"/>
  <c r="K41" i="14"/>
  <c r="K42" i="14" s="1"/>
  <c r="K40" i="14"/>
  <c r="K39" i="14"/>
  <c r="M35" i="14"/>
  <c r="L36" i="14"/>
  <c r="L37" i="14"/>
  <c r="F54" i="3"/>
  <c r="E266" i="3"/>
  <c r="F41" i="3"/>
  <c r="F57" i="3"/>
  <c r="F107" i="3" s="1"/>
  <c r="K44" i="14" l="1"/>
  <c r="L41" i="14"/>
  <c r="L42" i="14" s="1"/>
  <c r="L40" i="14"/>
  <c r="L39" i="14"/>
  <c r="N35" i="14"/>
  <c r="M37" i="14"/>
  <c r="M36" i="14"/>
  <c r="F58" i="3"/>
  <c r="F61" i="1" s="1"/>
  <c r="K129" i="1" s="1"/>
  <c r="F76" i="1"/>
  <c r="K128" i="1" s="1"/>
  <c r="F108" i="3"/>
  <c r="F106" i="3"/>
  <c r="F67" i="1"/>
  <c r="D2" i="13"/>
  <c r="J2" i="13"/>
  <c r="G2" i="13"/>
  <c r="N17" i="6"/>
  <c r="F39" i="3"/>
  <c r="Y22" i="13"/>
  <c r="Y15" i="13"/>
  <c r="Y18" i="13" s="1"/>
  <c r="N18" i="6"/>
  <c r="L18" i="6"/>
  <c r="M18" i="6" s="1"/>
  <c r="L17" i="6"/>
  <c r="M17" i="6" s="1"/>
  <c r="Q17" i="6" l="1"/>
  <c r="C113" i="13"/>
  <c r="C84" i="13"/>
  <c r="C89" i="13"/>
  <c r="C110" i="13"/>
  <c r="C99" i="13"/>
  <c r="C86" i="13"/>
  <c r="C93" i="13"/>
  <c r="C114" i="13"/>
  <c r="C105" i="13"/>
  <c r="C81" i="13"/>
  <c r="C106" i="13"/>
  <c r="C92" i="13"/>
  <c r="C107" i="13"/>
  <c r="C94" i="13"/>
  <c r="C83" i="13"/>
  <c r="C82" i="13"/>
  <c r="C103" i="13"/>
  <c r="C90" i="13"/>
  <c r="C111" i="13"/>
  <c r="C91" i="13"/>
  <c r="C104" i="13"/>
  <c r="C101" i="13"/>
  <c r="C88" i="13"/>
  <c r="C80" i="13"/>
  <c r="C87" i="13"/>
  <c r="C85" i="13"/>
  <c r="C98" i="13"/>
  <c r="C100" i="13"/>
  <c r="C97" i="13"/>
  <c r="C102" i="13"/>
  <c r="C112" i="13"/>
  <c r="C109" i="13"/>
  <c r="C96" i="13"/>
  <c r="C108" i="13"/>
  <c r="C95" i="13"/>
  <c r="C8" i="7"/>
  <c r="C10" i="7" s="1"/>
  <c r="C11" i="7" s="1"/>
  <c r="L44" i="14"/>
  <c r="M40" i="14"/>
  <c r="M41" i="14"/>
  <c r="M42" i="14" s="1"/>
  <c r="M39" i="14"/>
  <c r="O35" i="14"/>
  <c r="N37" i="14"/>
  <c r="N36" i="14"/>
  <c r="F64" i="3"/>
  <c r="Y24" i="13"/>
  <c r="AN26" i="1"/>
  <c r="F69" i="1" l="1"/>
  <c r="F66" i="3"/>
  <c r="E23" i="14" s="1"/>
  <c r="P35" i="14"/>
  <c r="O37" i="14"/>
  <c r="O36" i="14"/>
  <c r="M44" i="14"/>
  <c r="N40" i="14"/>
  <c r="N39" i="14"/>
  <c r="N41" i="14"/>
  <c r="N42" i="14" s="1"/>
  <c r="F65" i="3"/>
  <c r="N44" i="14" l="1"/>
  <c r="O41" i="14"/>
  <c r="O42" i="14" s="1"/>
  <c r="O39" i="14"/>
  <c r="O40" i="14"/>
  <c r="Q35" i="14"/>
  <c r="P37" i="14"/>
  <c r="P36" i="14"/>
  <c r="F117" i="3"/>
  <c r="F116" i="3"/>
  <c r="F115" i="3"/>
  <c r="F114" i="3"/>
  <c r="F112" i="3"/>
  <c r="O44" i="14" l="1"/>
  <c r="P41" i="14"/>
  <c r="P42" i="14" s="1"/>
  <c r="P39" i="14"/>
  <c r="P40" i="14"/>
  <c r="R35" i="14"/>
  <c r="Q36" i="14"/>
  <c r="Q37" i="14"/>
  <c r="J111" i="3"/>
  <c r="I109" i="3"/>
  <c r="I111" i="3"/>
  <c r="H111" i="3"/>
  <c r="J109" i="3"/>
  <c r="H109" i="3"/>
  <c r="J110" i="3"/>
  <c r="I110" i="3"/>
  <c r="H110" i="3"/>
  <c r="F109" i="3" l="1"/>
  <c r="S35" i="14"/>
  <c r="R37" i="14"/>
  <c r="R36" i="14"/>
  <c r="Q39" i="14"/>
  <c r="Q40" i="14"/>
  <c r="Q41" i="14"/>
  <c r="Q42" i="14" s="1"/>
  <c r="P44" i="14"/>
  <c r="F111" i="3"/>
  <c r="F110" i="3"/>
  <c r="F77" i="1" s="1"/>
  <c r="K130" i="1" s="1"/>
  <c r="R41" i="14" l="1"/>
  <c r="R42" i="14" s="1"/>
  <c r="R40" i="14"/>
  <c r="R39" i="14"/>
  <c r="T35" i="14"/>
  <c r="S37" i="14"/>
  <c r="S36" i="14"/>
  <c r="Q44" i="14"/>
  <c r="AO36" i="1"/>
  <c r="J18" i="5"/>
  <c r="N14" i="5" s="1"/>
  <c r="J17" i="5"/>
  <c r="N12" i="5" s="1"/>
  <c r="J16" i="5"/>
  <c r="N10" i="5" s="1"/>
  <c r="J15" i="5"/>
  <c r="N6" i="5" s="1"/>
  <c r="G17" i="5"/>
  <c r="G16" i="5"/>
  <c r="G15" i="5"/>
  <c r="G14" i="5"/>
  <c r="S39" i="14" l="1"/>
  <c r="S40" i="14"/>
  <c r="S41" i="14"/>
  <c r="S42" i="14" s="1"/>
  <c r="U35" i="14"/>
  <c r="T36" i="14"/>
  <c r="T37" i="14"/>
  <c r="R44" i="14"/>
  <c r="D4" i="7"/>
  <c r="E4" i="7"/>
  <c r="K6" i="5"/>
  <c r="G13" i="5"/>
  <c r="G12" i="5"/>
  <c r="G11" i="5"/>
  <c r="O10" i="5" s="1"/>
  <c r="G10" i="5"/>
  <c r="O6" i="5" s="1"/>
  <c r="L5" i="5"/>
  <c r="C12" i="7" l="1"/>
  <c r="S44" i="14"/>
  <c r="C13" i="7"/>
  <c r="D33" i="7"/>
  <c r="V35" i="14"/>
  <c r="U36" i="14"/>
  <c r="U37" i="14"/>
  <c r="T40" i="14"/>
  <c r="T39" i="14"/>
  <c r="T41" i="14"/>
  <c r="T42" i="14" s="1"/>
  <c r="E33" i="7"/>
  <c r="F33" i="7"/>
  <c r="M25" i="14" s="1"/>
  <c r="I12" i="5"/>
  <c r="I17" i="5" s="1"/>
  <c r="O11" i="5" s="1"/>
  <c r="N11" i="5" s="1"/>
  <c r="I13" i="5"/>
  <c r="I18" i="5" s="1"/>
  <c r="O13" i="5" s="1"/>
  <c r="N13" i="5" s="1"/>
  <c r="I10" i="5"/>
  <c r="I15" i="5" s="1"/>
  <c r="O5" i="5" s="1"/>
  <c r="N5" i="5" s="1"/>
  <c r="I11" i="5"/>
  <c r="I16" i="5" s="1"/>
  <c r="O9" i="5" s="1"/>
  <c r="N9" i="5" s="1"/>
  <c r="F32" i="7" l="1"/>
  <c r="M24" i="14" s="1"/>
  <c r="T44" i="14"/>
  <c r="U41" i="14"/>
  <c r="U42" i="14" s="1"/>
  <c r="U40" i="14"/>
  <c r="U39" i="14"/>
  <c r="W35" i="14"/>
  <c r="V37" i="14"/>
  <c r="V36" i="14"/>
  <c r="E32" i="7"/>
  <c r="L24" i="14" s="1"/>
  <c r="L25" i="14"/>
  <c r="K25" i="14"/>
  <c r="D32" i="7"/>
  <c r="K24" i="14" s="1"/>
  <c r="F20" i="3"/>
  <c r="F21" i="1" s="1"/>
  <c r="V41" i="14" l="1"/>
  <c r="V42" i="14" s="1"/>
  <c r="V39" i="14"/>
  <c r="V40" i="14"/>
  <c r="X35" i="14"/>
  <c r="W37" i="14"/>
  <c r="W36" i="14"/>
  <c r="U44" i="14"/>
  <c r="F21" i="3" l="1"/>
  <c r="F24" i="1" s="1"/>
  <c r="F23" i="3"/>
  <c r="W39" i="14"/>
  <c r="W40" i="14"/>
  <c r="W41" i="14"/>
  <c r="W42" i="14" s="1"/>
  <c r="X37" i="14"/>
  <c r="X36" i="14"/>
  <c r="V44" i="14"/>
  <c r="F42" i="3" l="1"/>
  <c r="F51" i="1" s="1"/>
  <c r="F38" i="3"/>
  <c r="F47" i="1" s="1"/>
  <c r="E267" i="3"/>
  <c r="F40" i="3"/>
  <c r="F49" i="1" s="1"/>
  <c r="F22" i="3"/>
  <c r="F25" i="1" s="1"/>
  <c r="W44" i="14"/>
  <c r="X40" i="14"/>
  <c r="X39" i="14"/>
  <c r="X41" i="14"/>
  <c r="X42" i="14" s="1"/>
  <c r="I2" i="13"/>
  <c r="F25" i="3"/>
  <c r="F30" i="1" s="1"/>
  <c r="F28" i="1"/>
  <c r="F26" i="3"/>
  <c r="F24" i="3"/>
  <c r="F29" i="1" s="1"/>
  <c r="K124" i="1" l="1"/>
  <c r="K125" i="1"/>
  <c r="X44" i="14"/>
  <c r="C24" i="7"/>
  <c r="F179" i="3"/>
  <c r="F47" i="3"/>
  <c r="F184" i="3" s="1"/>
  <c r="B2" i="13"/>
  <c r="D114" i="13" s="1"/>
  <c r="C2" i="13"/>
  <c r="F31" i="1"/>
  <c r="F27" i="3"/>
  <c r="F32" i="1" s="1"/>
  <c r="AN36" i="1"/>
  <c r="F212" i="3" l="1"/>
  <c r="F216" i="3"/>
  <c r="F220" i="3"/>
  <c r="F224" i="3"/>
  <c r="F228" i="3"/>
  <c r="F232" i="3"/>
  <c r="F236" i="3"/>
  <c r="F240" i="3"/>
  <c r="F244" i="3"/>
  <c r="F248" i="3"/>
  <c r="F213" i="3"/>
  <c r="F217" i="3"/>
  <c r="F221" i="3"/>
  <c r="F225" i="3"/>
  <c r="F229" i="3"/>
  <c r="F222" i="3"/>
  <c r="F255" i="3"/>
  <c r="F211" i="3"/>
  <c r="F219" i="3"/>
  <c r="F227" i="3"/>
  <c r="F234" i="3"/>
  <c r="F239" i="3"/>
  <c r="F245" i="3"/>
  <c r="F250" i="3"/>
  <c r="F254" i="3"/>
  <c r="F214" i="3"/>
  <c r="F230" i="3"/>
  <c r="F235" i="3"/>
  <c r="F241" i="3"/>
  <c r="F246" i="3"/>
  <c r="F251" i="3"/>
  <c r="F218" i="3"/>
  <c r="F233" i="3"/>
  <c r="F243" i="3"/>
  <c r="F253" i="3"/>
  <c r="F223" i="3"/>
  <c r="F237" i="3"/>
  <c r="F247" i="3"/>
  <c r="F256" i="3"/>
  <c r="F210" i="3"/>
  <c r="F226" i="3"/>
  <c r="F238" i="3"/>
  <c r="F249" i="3"/>
  <c r="F257" i="3"/>
  <c r="F215" i="3"/>
  <c r="F231" i="3"/>
  <c r="F242" i="3"/>
  <c r="F252" i="3"/>
  <c r="F208" i="3"/>
  <c r="B208" i="3" s="1"/>
  <c r="F204" i="3"/>
  <c r="E204" i="3" s="1"/>
  <c r="F200" i="3"/>
  <c r="B200" i="3" s="1"/>
  <c r="F196" i="3"/>
  <c r="G196" i="3" s="1"/>
  <c r="F207" i="3"/>
  <c r="E207" i="3" s="1"/>
  <c r="F203" i="3"/>
  <c r="B203" i="3" s="1"/>
  <c r="F199" i="3"/>
  <c r="B199" i="3" s="1"/>
  <c r="F195" i="3"/>
  <c r="B195" i="3" s="1"/>
  <c r="F206" i="3"/>
  <c r="E206" i="3" s="1"/>
  <c r="F202" i="3"/>
  <c r="E202" i="3" s="1"/>
  <c r="F198" i="3"/>
  <c r="E198" i="3" s="1"/>
  <c r="F194" i="3"/>
  <c r="G194" i="3" s="1"/>
  <c r="F209" i="3"/>
  <c r="G209" i="3" s="1"/>
  <c r="F205" i="3"/>
  <c r="E205" i="3" s="1"/>
  <c r="F201" i="3"/>
  <c r="B201" i="3" s="1"/>
  <c r="F197" i="3"/>
  <c r="B197" i="3" s="1"/>
  <c r="F193" i="3"/>
  <c r="E193" i="3" s="1"/>
  <c r="D113" i="13"/>
  <c r="E113" i="13" s="1"/>
  <c r="E114" i="13" s="1"/>
  <c r="M114" i="13" s="1"/>
  <c r="D109" i="13"/>
  <c r="E109" i="13" s="1"/>
  <c r="D105" i="13"/>
  <c r="E105" i="13" s="1"/>
  <c r="D101" i="13"/>
  <c r="E101" i="13" s="1"/>
  <c r="D97" i="13"/>
  <c r="E97" i="13" s="1"/>
  <c r="D93" i="13"/>
  <c r="E93" i="13" s="1"/>
  <c r="D89" i="13"/>
  <c r="E89" i="13" s="1"/>
  <c r="D85" i="13"/>
  <c r="E85" i="13" s="1"/>
  <c r="D81" i="13"/>
  <c r="E81" i="13" s="1"/>
  <c r="D77" i="13"/>
  <c r="E77" i="13" s="1"/>
  <c r="D73" i="13"/>
  <c r="E73" i="13" s="1"/>
  <c r="D69" i="13"/>
  <c r="E69" i="13" s="1"/>
  <c r="D65" i="13"/>
  <c r="E65" i="13" s="1"/>
  <c r="D61" i="13"/>
  <c r="E61" i="13" s="1"/>
  <c r="D57" i="13"/>
  <c r="E57" i="13" s="1"/>
  <c r="D53" i="13"/>
  <c r="E53" i="13" s="1"/>
  <c r="D49" i="13"/>
  <c r="E49" i="13" s="1"/>
  <c r="D45" i="13"/>
  <c r="E45" i="13" s="1"/>
  <c r="D41" i="13"/>
  <c r="E41" i="13" s="1"/>
  <c r="D37" i="13"/>
  <c r="E37" i="13" s="1"/>
  <c r="D33" i="13"/>
  <c r="E33" i="13" s="1"/>
  <c r="D29" i="13"/>
  <c r="E29" i="13" s="1"/>
  <c r="D25" i="13"/>
  <c r="E25" i="13" s="1"/>
  <c r="D21" i="13"/>
  <c r="E21" i="13" s="1"/>
  <c r="D17" i="13"/>
  <c r="E17" i="13" s="1"/>
  <c r="D13" i="13"/>
  <c r="E13" i="13" s="1"/>
  <c r="D112" i="13"/>
  <c r="E112" i="13" s="1"/>
  <c r="D108" i="13"/>
  <c r="E108" i="13" s="1"/>
  <c r="D104" i="13"/>
  <c r="E104" i="13" s="1"/>
  <c r="D100" i="13"/>
  <c r="E100" i="13" s="1"/>
  <c r="D96" i="13"/>
  <c r="E96" i="13" s="1"/>
  <c r="D92" i="13"/>
  <c r="E92" i="13" s="1"/>
  <c r="D88" i="13"/>
  <c r="E88" i="13" s="1"/>
  <c r="D84" i="13"/>
  <c r="E84" i="13" s="1"/>
  <c r="D80" i="13"/>
  <c r="E80" i="13" s="1"/>
  <c r="D76" i="13"/>
  <c r="E76" i="13" s="1"/>
  <c r="D72" i="13"/>
  <c r="E72" i="13" s="1"/>
  <c r="D68" i="13"/>
  <c r="E68" i="13" s="1"/>
  <c r="D64" i="13"/>
  <c r="E64" i="13" s="1"/>
  <c r="D60" i="13"/>
  <c r="E60" i="13" s="1"/>
  <c r="D56" i="13"/>
  <c r="E56" i="13" s="1"/>
  <c r="D52" i="13"/>
  <c r="E52" i="13" s="1"/>
  <c r="D48" i="13"/>
  <c r="E48" i="13" s="1"/>
  <c r="D44" i="13"/>
  <c r="E44" i="13" s="1"/>
  <c r="D40" i="13"/>
  <c r="E40" i="13" s="1"/>
  <c r="D36" i="13"/>
  <c r="E36" i="13" s="1"/>
  <c r="D32" i="13"/>
  <c r="E32" i="13" s="1"/>
  <c r="D28" i="13"/>
  <c r="E28" i="13" s="1"/>
  <c r="D24" i="13"/>
  <c r="E24" i="13" s="1"/>
  <c r="D18" i="13"/>
  <c r="E18" i="13" s="1"/>
  <c r="D16" i="13"/>
  <c r="E16" i="13" s="1"/>
  <c r="D111" i="13"/>
  <c r="E111" i="13" s="1"/>
  <c r="D107" i="13"/>
  <c r="E107" i="13" s="1"/>
  <c r="D103" i="13"/>
  <c r="E103" i="13" s="1"/>
  <c r="D99" i="13"/>
  <c r="E99" i="13" s="1"/>
  <c r="D95" i="13"/>
  <c r="E95" i="13" s="1"/>
  <c r="D91" i="13"/>
  <c r="E91" i="13" s="1"/>
  <c r="D87" i="13"/>
  <c r="E87" i="13" s="1"/>
  <c r="D83" i="13"/>
  <c r="E83" i="13" s="1"/>
  <c r="D79" i="13"/>
  <c r="E79" i="13" s="1"/>
  <c r="D75" i="13"/>
  <c r="E75" i="13" s="1"/>
  <c r="D71" i="13"/>
  <c r="E71" i="13" s="1"/>
  <c r="D67" i="13"/>
  <c r="E67" i="13" s="1"/>
  <c r="D63" i="13"/>
  <c r="E63" i="13" s="1"/>
  <c r="D59" i="13"/>
  <c r="E59" i="13" s="1"/>
  <c r="D55" i="13"/>
  <c r="E55" i="13" s="1"/>
  <c r="D51" i="13"/>
  <c r="E51" i="13" s="1"/>
  <c r="D47" i="13"/>
  <c r="E47" i="13" s="1"/>
  <c r="D43" i="13"/>
  <c r="E43" i="13" s="1"/>
  <c r="D39" i="13"/>
  <c r="E39" i="13" s="1"/>
  <c r="D35" i="13"/>
  <c r="E35" i="13" s="1"/>
  <c r="D31" i="13"/>
  <c r="E31" i="13" s="1"/>
  <c r="D27" i="13"/>
  <c r="E27" i="13" s="1"/>
  <c r="D23" i="13"/>
  <c r="E23" i="13" s="1"/>
  <c r="D20" i="13"/>
  <c r="E20" i="13" s="1"/>
  <c r="D15" i="13"/>
  <c r="E15" i="13" s="1"/>
  <c r="D11" i="13"/>
  <c r="E11" i="13" s="1"/>
  <c r="D110" i="13"/>
  <c r="E110" i="13" s="1"/>
  <c r="D106" i="13"/>
  <c r="E106" i="13" s="1"/>
  <c r="D102" i="13"/>
  <c r="E102" i="13" s="1"/>
  <c r="D98" i="13"/>
  <c r="E98" i="13" s="1"/>
  <c r="D94" i="13"/>
  <c r="E94" i="13" s="1"/>
  <c r="D90" i="13"/>
  <c r="E90" i="13" s="1"/>
  <c r="D86" i="13"/>
  <c r="E86" i="13" s="1"/>
  <c r="D82" i="13"/>
  <c r="E82" i="13" s="1"/>
  <c r="D78" i="13"/>
  <c r="E78" i="13" s="1"/>
  <c r="D74" i="13"/>
  <c r="E74" i="13" s="1"/>
  <c r="D70" i="13"/>
  <c r="E70" i="13" s="1"/>
  <c r="D66" i="13"/>
  <c r="E66" i="13" s="1"/>
  <c r="D62" i="13"/>
  <c r="E62" i="13" s="1"/>
  <c r="D58" i="13"/>
  <c r="E58" i="13" s="1"/>
  <c r="D54" i="13"/>
  <c r="E54" i="13" s="1"/>
  <c r="D50" i="13"/>
  <c r="E50" i="13" s="1"/>
  <c r="D46" i="13"/>
  <c r="E46" i="13" s="1"/>
  <c r="D42" i="13"/>
  <c r="E42" i="13" s="1"/>
  <c r="D38" i="13"/>
  <c r="E38" i="13" s="1"/>
  <c r="D34" i="13"/>
  <c r="E34" i="13" s="1"/>
  <c r="D30" i="13"/>
  <c r="E30" i="13" s="1"/>
  <c r="D26" i="13"/>
  <c r="E26" i="13" s="1"/>
  <c r="D22" i="13"/>
  <c r="E22" i="13" s="1"/>
  <c r="D19" i="13"/>
  <c r="E19" i="13" s="1"/>
  <c r="D14" i="13"/>
  <c r="E14" i="13" s="1"/>
  <c r="D12" i="13"/>
  <c r="E12" i="13" s="1"/>
  <c r="D10" i="13"/>
  <c r="E10" i="13" s="1"/>
  <c r="H26" i="7"/>
  <c r="F48" i="3"/>
  <c r="F185" i="3" s="1"/>
  <c r="F46" i="3"/>
  <c r="F183" i="3" s="1"/>
  <c r="G252" i="3" l="1"/>
  <c r="E252" i="3"/>
  <c r="J252" i="3" s="1"/>
  <c r="S252" i="3" s="1"/>
  <c r="G210" i="3"/>
  <c r="E210" i="3"/>
  <c r="J210" i="3" s="1"/>
  <c r="S210" i="3" s="1"/>
  <c r="E218" i="3"/>
  <c r="J218" i="3" s="1"/>
  <c r="S218" i="3" s="1"/>
  <c r="G218" i="3"/>
  <c r="G250" i="3"/>
  <c r="E250" i="3"/>
  <c r="J250" i="3" s="1"/>
  <c r="S250" i="3" s="1"/>
  <c r="G222" i="3"/>
  <c r="E222" i="3"/>
  <c r="J222" i="3" s="1"/>
  <c r="S222" i="3" s="1"/>
  <c r="G240" i="3"/>
  <c r="E240" i="3"/>
  <c r="J240" i="3" s="1"/>
  <c r="S240" i="3" s="1"/>
  <c r="G249" i="3"/>
  <c r="E249" i="3"/>
  <c r="J249" i="3" s="1"/>
  <c r="S249" i="3" s="1"/>
  <c r="G256" i="3"/>
  <c r="E256" i="3"/>
  <c r="J256" i="3" s="1"/>
  <c r="S256" i="3" s="1"/>
  <c r="G251" i="3"/>
  <c r="E251" i="3"/>
  <c r="J251" i="3" s="1"/>
  <c r="S251" i="3" s="1"/>
  <c r="G245" i="3"/>
  <c r="E245" i="3"/>
  <c r="J245" i="3" s="1"/>
  <c r="S245" i="3" s="1"/>
  <c r="G229" i="3"/>
  <c r="E229" i="3"/>
  <c r="J229" i="3" s="1"/>
  <c r="S229" i="3" s="1"/>
  <c r="G213" i="3"/>
  <c r="E213" i="3"/>
  <c r="J213" i="3" s="1"/>
  <c r="S213" i="3" s="1"/>
  <c r="G220" i="3"/>
  <c r="E220" i="3"/>
  <c r="J220" i="3" s="1"/>
  <c r="S220" i="3" s="1"/>
  <c r="G231" i="3"/>
  <c r="E231" i="3"/>
  <c r="J231" i="3" s="1"/>
  <c r="S231" i="3" s="1"/>
  <c r="G238" i="3"/>
  <c r="E238" i="3"/>
  <c r="J238" i="3" s="1"/>
  <c r="S238" i="3" s="1"/>
  <c r="G247" i="3"/>
  <c r="E247" i="3"/>
  <c r="J247" i="3" s="1"/>
  <c r="S247" i="3" s="1"/>
  <c r="G243" i="3"/>
  <c r="E243" i="3"/>
  <c r="J243" i="3" s="1"/>
  <c r="S243" i="3" s="1"/>
  <c r="G246" i="3"/>
  <c r="E246" i="3"/>
  <c r="J246" i="3" s="1"/>
  <c r="S246" i="3" s="1"/>
  <c r="G214" i="3"/>
  <c r="E214" i="3"/>
  <c r="J214" i="3" s="1"/>
  <c r="S214" i="3" s="1"/>
  <c r="G239" i="3"/>
  <c r="E239" i="3"/>
  <c r="J239" i="3" s="1"/>
  <c r="S239" i="3" s="1"/>
  <c r="G211" i="3"/>
  <c r="E211" i="3"/>
  <c r="J211" i="3" s="1"/>
  <c r="S211" i="3" s="1"/>
  <c r="G225" i="3"/>
  <c r="E225" i="3"/>
  <c r="J225" i="3" s="1"/>
  <c r="S225" i="3" s="1"/>
  <c r="G248" i="3"/>
  <c r="E248" i="3"/>
  <c r="J248" i="3" s="1"/>
  <c r="S248" i="3" s="1"/>
  <c r="G232" i="3"/>
  <c r="E232" i="3"/>
  <c r="J232" i="3" s="1"/>
  <c r="S232" i="3" s="1"/>
  <c r="G216" i="3"/>
  <c r="E216" i="3"/>
  <c r="J216" i="3" s="1"/>
  <c r="S216" i="3" s="1"/>
  <c r="G257" i="3"/>
  <c r="E257" i="3"/>
  <c r="J257" i="3" s="1"/>
  <c r="S257" i="3" s="1"/>
  <c r="G223" i="3"/>
  <c r="E223" i="3"/>
  <c r="J223" i="3" s="1"/>
  <c r="S223" i="3" s="1"/>
  <c r="G235" i="3"/>
  <c r="E235" i="3"/>
  <c r="J235" i="3" s="1"/>
  <c r="S235" i="3" s="1"/>
  <c r="G227" i="3"/>
  <c r="E227" i="3"/>
  <c r="J227" i="3" s="1"/>
  <c r="S227" i="3" s="1"/>
  <c r="G217" i="3"/>
  <c r="E217" i="3"/>
  <c r="J217" i="3" s="1"/>
  <c r="S217" i="3" s="1"/>
  <c r="G224" i="3"/>
  <c r="E224" i="3"/>
  <c r="J224" i="3" s="1"/>
  <c r="S224" i="3" s="1"/>
  <c r="G242" i="3"/>
  <c r="E242" i="3"/>
  <c r="J242" i="3" s="1"/>
  <c r="S242" i="3" s="1"/>
  <c r="G253" i="3"/>
  <c r="E253" i="3"/>
  <c r="J253" i="3" s="1"/>
  <c r="S253" i="3" s="1"/>
  <c r="E230" i="3"/>
  <c r="J230" i="3" s="1"/>
  <c r="S230" i="3" s="1"/>
  <c r="G230" i="3"/>
  <c r="G219" i="3"/>
  <c r="E219" i="3"/>
  <c r="J219" i="3" s="1"/>
  <c r="S219" i="3" s="1"/>
  <c r="G236" i="3"/>
  <c r="E236" i="3"/>
  <c r="J236" i="3" s="1"/>
  <c r="S236" i="3" s="1"/>
  <c r="G215" i="3"/>
  <c r="E215" i="3"/>
  <c r="J215" i="3" s="1"/>
  <c r="S215" i="3" s="1"/>
  <c r="G226" i="3"/>
  <c r="E226" i="3"/>
  <c r="J226" i="3" s="1"/>
  <c r="S226" i="3" s="1"/>
  <c r="G237" i="3"/>
  <c r="E237" i="3"/>
  <c r="J237" i="3" s="1"/>
  <c r="S237" i="3" s="1"/>
  <c r="G233" i="3"/>
  <c r="E233" i="3"/>
  <c r="J233" i="3" s="1"/>
  <c r="S233" i="3" s="1"/>
  <c r="G241" i="3"/>
  <c r="E241" i="3"/>
  <c r="J241" i="3" s="1"/>
  <c r="S241" i="3" s="1"/>
  <c r="G254" i="3"/>
  <c r="E254" i="3"/>
  <c r="J254" i="3" s="1"/>
  <c r="S254" i="3" s="1"/>
  <c r="G234" i="3"/>
  <c r="E234" i="3"/>
  <c r="J234" i="3" s="1"/>
  <c r="S234" i="3" s="1"/>
  <c r="G255" i="3"/>
  <c r="E255" i="3"/>
  <c r="J255" i="3" s="1"/>
  <c r="S255" i="3" s="1"/>
  <c r="G221" i="3"/>
  <c r="E221" i="3"/>
  <c r="J221" i="3" s="1"/>
  <c r="S221" i="3" s="1"/>
  <c r="G244" i="3"/>
  <c r="E244" i="3"/>
  <c r="J244" i="3" s="1"/>
  <c r="S244" i="3" s="1"/>
  <c r="G228" i="3"/>
  <c r="E228" i="3"/>
  <c r="J228" i="3" s="1"/>
  <c r="S228" i="3" s="1"/>
  <c r="G212" i="3"/>
  <c r="E212" i="3"/>
  <c r="J212" i="3" s="1"/>
  <c r="S212" i="3" s="1"/>
  <c r="E200" i="3"/>
  <c r="G200" i="3"/>
  <c r="B209" i="3"/>
  <c r="B198" i="3"/>
  <c r="E196" i="3"/>
  <c r="E208" i="3"/>
  <c r="G208" i="3"/>
  <c r="B207" i="3"/>
  <c r="B205" i="3"/>
  <c r="G193" i="3"/>
  <c r="B193" i="3"/>
  <c r="G207" i="3"/>
  <c r="B206" i="3"/>
  <c r="B196" i="3"/>
  <c r="G206" i="3"/>
  <c r="E203" i="3"/>
  <c r="G195" i="3"/>
  <c r="G197" i="3"/>
  <c r="G202" i="3"/>
  <c r="G203" i="3"/>
  <c r="G205" i="3"/>
  <c r="B202" i="3"/>
  <c r="E195" i="3"/>
  <c r="E197" i="3"/>
  <c r="E209" i="3"/>
  <c r="B204" i="3"/>
  <c r="B194" i="3"/>
  <c r="E201" i="3"/>
  <c r="G199" i="3"/>
  <c r="G198" i="3"/>
  <c r="G204" i="3"/>
  <c r="G201" i="3"/>
  <c r="E194" i="3"/>
  <c r="E199" i="3"/>
  <c r="M112" i="13"/>
  <c r="M113" i="13"/>
  <c r="M111" i="13"/>
  <c r="M15" i="13"/>
  <c r="M37" i="13"/>
  <c r="M47" i="13"/>
  <c r="M23" i="13"/>
  <c r="G37" i="5"/>
  <c r="M51" i="13" l="1"/>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N4" i="13" l="1"/>
  <c r="G54" i="1" l="1"/>
  <c r="F152" i="3" l="1"/>
  <c r="F151" i="3"/>
  <c r="O216" i="3"/>
  <c r="H35" i="3" l="1"/>
  <c r="H33" i="3"/>
  <c r="H36" i="3"/>
  <c r="H34" i="3"/>
  <c r="F153" i="3"/>
  <c r="F176" i="3"/>
  <c r="F175" i="3"/>
  <c r="D114" i="1"/>
  <c r="F105" i="1"/>
  <c r="F181" i="3"/>
  <c r="L230" i="3" l="1"/>
  <c r="U230" i="3" s="1"/>
  <c r="L216" i="3"/>
  <c r="U216" i="3" s="1"/>
  <c r="L251" i="3"/>
  <c r="U251" i="3" s="1"/>
  <c r="L226" i="3"/>
  <c r="U226" i="3" s="1"/>
  <c r="L246" i="3"/>
  <c r="U246" i="3" s="1"/>
  <c r="L222" i="3"/>
  <c r="U222" i="3" s="1"/>
  <c r="L237" i="3"/>
  <c r="U237" i="3" s="1"/>
  <c r="L248" i="3"/>
  <c r="U248" i="3" s="1"/>
  <c r="L249" i="3"/>
  <c r="U249" i="3" s="1"/>
  <c r="L234" i="3"/>
  <c r="U234" i="3" s="1"/>
  <c r="L235" i="3"/>
  <c r="U235" i="3" s="1"/>
  <c r="L213" i="3"/>
  <c r="U213" i="3" s="1"/>
  <c r="L227" i="3"/>
  <c r="U227" i="3" s="1"/>
  <c r="L211" i="3"/>
  <c r="U211" i="3" s="1"/>
  <c r="L250" i="3"/>
  <c r="U250" i="3" s="1"/>
  <c r="L217" i="3"/>
  <c r="U217" i="3" s="1"/>
  <c r="L231" i="3"/>
  <c r="U231" i="3" s="1"/>
  <c r="L218" i="3"/>
  <c r="U218" i="3" s="1"/>
  <c r="L219" i="3"/>
  <c r="U219" i="3" s="1"/>
  <c r="L214" i="3"/>
  <c r="U214" i="3" s="1"/>
  <c r="L210" i="3"/>
  <c r="U210" i="3" s="1"/>
  <c r="L233" i="3"/>
  <c r="U233" i="3" s="1"/>
  <c r="L232" i="3"/>
  <c r="U232" i="3" s="1"/>
  <c r="L256" i="3"/>
  <c r="U256" i="3" s="1"/>
  <c r="L253" i="3"/>
  <c r="U253" i="3" s="1"/>
  <c r="L241" i="3"/>
  <c r="U241" i="3" s="1"/>
  <c r="L243" i="3"/>
  <c r="U243" i="3" s="1"/>
  <c r="L252" i="3"/>
  <c r="U252" i="3" s="1"/>
  <c r="L257" i="3"/>
  <c r="U257" i="3" s="1"/>
  <c r="L245" i="3"/>
  <c r="U245" i="3" s="1"/>
  <c r="L228" i="3"/>
  <c r="U228" i="3" s="1"/>
  <c r="L224" i="3"/>
  <c r="U224" i="3" s="1"/>
  <c r="L238" i="3"/>
  <c r="U238" i="3" s="1"/>
  <c r="L212" i="3"/>
  <c r="U212" i="3" s="1"/>
  <c r="L236" i="3"/>
  <c r="U236" i="3" s="1"/>
  <c r="L239" i="3"/>
  <c r="U239" i="3" s="1"/>
  <c r="L221" i="3"/>
  <c r="U221" i="3" s="1"/>
  <c r="L215" i="3"/>
  <c r="U215" i="3" s="1"/>
  <c r="L220" i="3"/>
  <c r="U220" i="3" s="1"/>
  <c r="L244" i="3"/>
  <c r="U244" i="3" s="1"/>
  <c r="L225" i="3"/>
  <c r="U225" i="3" s="1"/>
  <c r="L240" i="3"/>
  <c r="U240" i="3" s="1"/>
  <c r="L254" i="3"/>
  <c r="U254" i="3" s="1"/>
  <c r="L223" i="3"/>
  <c r="U223" i="3" s="1"/>
  <c r="L229" i="3"/>
  <c r="U229" i="3" s="1"/>
  <c r="L255" i="3"/>
  <c r="U255" i="3" s="1"/>
  <c r="L242" i="3"/>
  <c r="U242" i="3" s="1"/>
  <c r="L247" i="3"/>
  <c r="U247" i="3" s="1"/>
  <c r="F102" i="1"/>
  <c r="F104" i="1"/>
  <c r="E115" i="1"/>
  <c r="K134" i="1" s="1"/>
  <c r="K133" i="1"/>
  <c r="E112" i="1"/>
  <c r="K131" i="1" s="1"/>
  <c r="E113" i="1"/>
  <c r="K132" i="1" s="1"/>
  <c r="D115" i="1"/>
  <c r="F115" i="1"/>
  <c r="F180" i="3"/>
  <c r="D113" i="1"/>
  <c r="F112" i="1"/>
  <c r="F113" i="1"/>
  <c r="F114" i="1"/>
  <c r="K218" i="3" l="1"/>
  <c r="T218" i="3" s="1"/>
  <c r="K249" i="3"/>
  <c r="T249" i="3" s="1"/>
  <c r="K229" i="3"/>
  <c r="T229" i="3" s="1"/>
  <c r="K238" i="3"/>
  <c r="T238" i="3" s="1"/>
  <c r="K214" i="3"/>
  <c r="T214" i="3" s="1"/>
  <c r="K248" i="3"/>
  <c r="T248" i="3" s="1"/>
  <c r="K223" i="3"/>
  <c r="T223" i="3" s="1"/>
  <c r="K224" i="3"/>
  <c r="T224" i="3" s="1"/>
  <c r="K219" i="3"/>
  <c r="T219" i="3" s="1"/>
  <c r="K237" i="3"/>
  <c r="T237" i="3" s="1"/>
  <c r="K228" i="3"/>
  <c r="T228" i="3" s="1"/>
  <c r="K250" i="3"/>
  <c r="T250" i="3" s="1"/>
  <c r="K240" i="3"/>
  <c r="T240" i="3" s="1"/>
  <c r="K245" i="3"/>
  <c r="T245" i="3" s="1"/>
  <c r="K231" i="3"/>
  <c r="T231" i="3" s="1"/>
  <c r="K246" i="3"/>
  <c r="T246" i="3" s="1"/>
  <c r="K225" i="3"/>
  <c r="T225" i="3" s="1"/>
  <c r="K257" i="3"/>
  <c r="T257" i="3" s="1"/>
  <c r="K217" i="3"/>
  <c r="T217" i="3" s="1"/>
  <c r="K226" i="3"/>
  <c r="T226" i="3" s="1"/>
  <c r="K244" i="3"/>
  <c r="T244" i="3" s="1"/>
  <c r="K252" i="3"/>
  <c r="T252" i="3" s="1"/>
  <c r="K210" i="3"/>
  <c r="T210" i="3" s="1"/>
  <c r="K251" i="3"/>
  <c r="T251" i="3" s="1"/>
  <c r="K220" i="3"/>
  <c r="T220" i="3" s="1"/>
  <c r="K243" i="3"/>
  <c r="T243" i="3" s="1"/>
  <c r="K211" i="3"/>
  <c r="T211" i="3" s="1"/>
  <c r="K216" i="3"/>
  <c r="T216" i="3" s="1"/>
  <c r="K227" i="3"/>
  <c r="T227" i="3" s="1"/>
  <c r="K253" i="3"/>
  <c r="T253" i="3" s="1"/>
  <c r="K230" i="3"/>
  <c r="T230" i="3" s="1"/>
  <c r="K215" i="3"/>
  <c r="T215" i="3" s="1"/>
  <c r="K241" i="3"/>
  <c r="T241" i="3" s="1"/>
  <c r="K254" i="3"/>
  <c r="T254" i="3" s="1"/>
  <c r="K234" i="3"/>
  <c r="T234" i="3" s="1"/>
  <c r="K221" i="3"/>
  <c r="T221" i="3" s="1"/>
  <c r="K222" i="3"/>
  <c r="T222" i="3" s="1"/>
  <c r="K256" i="3"/>
  <c r="T256" i="3" s="1"/>
  <c r="K213" i="3"/>
  <c r="T213" i="3" s="1"/>
  <c r="K247" i="3"/>
  <c r="T247" i="3" s="1"/>
  <c r="K239" i="3"/>
  <c r="T239" i="3" s="1"/>
  <c r="K232" i="3"/>
  <c r="T232" i="3" s="1"/>
  <c r="K235" i="3"/>
  <c r="T235" i="3" s="1"/>
  <c r="K242" i="3"/>
  <c r="T242" i="3" s="1"/>
  <c r="K212" i="3"/>
  <c r="T212" i="3" s="1"/>
  <c r="K236" i="3"/>
  <c r="T236" i="3" s="1"/>
  <c r="K233" i="3"/>
  <c r="T233" i="3" s="1"/>
  <c r="K255" i="3"/>
  <c r="T255" i="3" s="1"/>
  <c r="F103" i="1"/>
  <c r="K193" i="3"/>
  <c r="T193" i="3" s="1"/>
  <c r="K195" i="3"/>
  <c r="T195" i="3" s="1"/>
  <c r="K197" i="3"/>
  <c r="T197" i="3" s="1"/>
  <c r="K199" i="3"/>
  <c r="T199" i="3" s="1"/>
  <c r="K201" i="3"/>
  <c r="T201" i="3" s="1"/>
  <c r="K203" i="3"/>
  <c r="T203" i="3" s="1"/>
  <c r="K205" i="3"/>
  <c r="T205" i="3" s="1"/>
  <c r="K207" i="3"/>
  <c r="T207" i="3" s="1"/>
  <c r="K209" i="3"/>
  <c r="T209" i="3" s="1"/>
  <c r="K194" i="3"/>
  <c r="T194" i="3" s="1"/>
  <c r="K196" i="3"/>
  <c r="T196" i="3" s="1"/>
  <c r="K198" i="3"/>
  <c r="T198" i="3" s="1"/>
  <c r="K200" i="3"/>
  <c r="T200" i="3" s="1"/>
  <c r="K202" i="3"/>
  <c r="T202" i="3" s="1"/>
  <c r="K204" i="3"/>
  <c r="T204" i="3" s="1"/>
  <c r="K206" i="3"/>
  <c r="T206" i="3" s="1"/>
  <c r="K208" i="3"/>
  <c r="T208" i="3" s="1"/>
  <c r="L199" i="3" l="1"/>
  <c r="U199" i="3" s="1"/>
  <c r="L203" i="3"/>
  <c r="U203" i="3" s="1"/>
  <c r="L207" i="3"/>
  <c r="U207" i="3" s="1"/>
  <c r="L200" i="3"/>
  <c r="U200" i="3" s="1"/>
  <c r="L204" i="3"/>
  <c r="U204" i="3" s="1"/>
  <c r="L208" i="3"/>
  <c r="U208" i="3" s="1"/>
  <c r="L197" i="3"/>
  <c r="U197" i="3" s="1"/>
  <c r="L201" i="3"/>
  <c r="U201" i="3" s="1"/>
  <c r="L205" i="3"/>
  <c r="U205" i="3" s="1"/>
  <c r="L194" i="3"/>
  <c r="U194" i="3" s="1"/>
  <c r="L198" i="3"/>
  <c r="U198" i="3" s="1"/>
  <c r="J193" i="3"/>
  <c r="S193" i="3" s="1"/>
  <c r="J201" i="3"/>
  <c r="S201" i="3" s="1"/>
  <c r="J209" i="3"/>
  <c r="S209" i="3" s="1"/>
  <c r="J198" i="3"/>
  <c r="S198" i="3" s="1"/>
  <c r="J206" i="3"/>
  <c r="S206" i="3" s="1"/>
  <c r="J195" i="3"/>
  <c r="S195" i="3" s="1"/>
  <c r="J199" i="3"/>
  <c r="S199" i="3" s="1"/>
  <c r="J207" i="3"/>
  <c r="S207" i="3" s="1"/>
  <c r="J200" i="3"/>
  <c r="S200" i="3" s="1"/>
  <c r="J208" i="3"/>
  <c r="S208" i="3" s="1"/>
  <c r="J197" i="3"/>
  <c r="S197" i="3" s="1"/>
  <c r="L193" i="3"/>
  <c r="U193" i="3" s="1"/>
  <c r="L209" i="3"/>
  <c r="U209" i="3" s="1"/>
  <c r="J196" i="3"/>
  <c r="S196" i="3" s="1"/>
  <c r="L202" i="3"/>
  <c r="U202" i="3" s="1"/>
  <c r="L206" i="3"/>
  <c r="U206" i="3" s="1"/>
  <c r="L195" i="3"/>
  <c r="U195" i="3" s="1"/>
  <c r="L196" i="3"/>
  <c r="U196" i="3" s="1"/>
  <c r="J194" i="3"/>
  <c r="S194" i="3" s="1"/>
  <c r="J204" i="3"/>
  <c r="S204" i="3" s="1"/>
  <c r="J203" i="3"/>
  <c r="S203" i="3" s="1"/>
  <c r="J202" i="3"/>
  <c r="S202" i="3" s="1"/>
  <c r="J205" i="3"/>
  <c r="S205" i="3" s="1"/>
  <c r="C18" i="7" l="1"/>
  <c r="C17" i="7" l="1"/>
  <c r="C19" i="7" s="1"/>
  <c r="C21" i="7" s="1"/>
  <c r="C25" i="7" s="1"/>
  <c r="F43" i="5" s="1"/>
  <c r="O211" i="3" s="1"/>
  <c r="O214" i="3" l="1"/>
  <c r="O213" i="3"/>
  <c r="O212" i="3"/>
  <c r="O215" i="3"/>
  <c r="F40" i="5"/>
  <c r="O197" i="3" s="1"/>
  <c r="F59" i="3"/>
  <c r="F62" i="1" s="1"/>
  <c r="F41" i="5"/>
  <c r="O201" i="3" s="1"/>
  <c r="X193" i="3"/>
  <c r="V209" i="3" s="1"/>
  <c r="F79" i="3"/>
  <c r="F80" i="3" s="1"/>
  <c r="F75" i="1" s="1"/>
  <c r="F42" i="5"/>
  <c r="O206" i="3" s="1"/>
  <c r="O207" i="3" s="1"/>
  <c r="V211" i="3" l="1"/>
  <c r="O209" i="3"/>
  <c r="V205" i="3"/>
  <c r="V216" i="3"/>
  <c r="V220" i="3"/>
  <c r="V224" i="3"/>
  <c r="V228" i="3"/>
  <c r="V232" i="3"/>
  <c r="V236" i="3"/>
  <c r="V240" i="3"/>
  <c r="V244" i="3"/>
  <c r="V248" i="3"/>
  <c r="V252" i="3"/>
  <c r="V256" i="3"/>
  <c r="V213" i="3"/>
  <c r="V217" i="3"/>
  <c r="V221" i="3"/>
  <c r="V225" i="3"/>
  <c r="V229" i="3"/>
  <c r="V233" i="3"/>
  <c r="V237" i="3"/>
  <c r="V241" i="3"/>
  <c r="V245" i="3"/>
  <c r="V249" i="3"/>
  <c r="V253" i="3"/>
  <c r="V257" i="3"/>
  <c r="V214" i="3"/>
  <c r="V218" i="3"/>
  <c r="V222" i="3"/>
  <c r="V226" i="3"/>
  <c r="V230" i="3"/>
  <c r="V234" i="3"/>
  <c r="V238" i="3"/>
  <c r="V242" i="3"/>
  <c r="V246" i="3"/>
  <c r="V250" i="3"/>
  <c r="V254" i="3"/>
  <c r="V215" i="3"/>
  <c r="V219" i="3"/>
  <c r="V223" i="3"/>
  <c r="V227" i="3"/>
  <c r="V231" i="3"/>
  <c r="V235" i="3"/>
  <c r="V239" i="3"/>
  <c r="V243" i="3"/>
  <c r="V247" i="3"/>
  <c r="V251" i="3"/>
  <c r="V255" i="3"/>
  <c r="V201" i="3"/>
  <c r="V207" i="3"/>
  <c r="V200" i="3"/>
  <c r="V204" i="3"/>
  <c r="V196" i="3"/>
  <c r="V210" i="3"/>
  <c r="V208" i="3"/>
  <c r="V198" i="3"/>
  <c r="V202" i="3"/>
  <c r="V195" i="3"/>
  <c r="V206" i="3"/>
  <c r="V197" i="3"/>
  <c r="V212" i="3"/>
  <c r="O198" i="3"/>
  <c r="V193" i="3"/>
  <c r="V199" i="3"/>
  <c r="V194" i="3"/>
  <c r="V203" i="3"/>
  <c r="O199" i="3"/>
  <c r="O203" i="3"/>
  <c r="O210" i="3"/>
  <c r="O205" i="3"/>
  <c r="O200" i="3"/>
  <c r="O204" i="3"/>
  <c r="O208" i="3"/>
  <c r="O202" i="3"/>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O37" i="13" s="1"/>
  <c r="F44" i="13"/>
  <c r="G44" i="13" s="1"/>
  <c r="F86" i="13"/>
  <c r="G86" i="13" s="1"/>
  <c r="O86" i="13" s="1"/>
  <c r="F51" i="13"/>
  <c r="G51" i="13" s="1"/>
  <c r="O51" i="13" s="1"/>
  <c r="F113" i="13"/>
  <c r="G113" i="13" s="1"/>
  <c r="O113" i="13" s="1"/>
  <c r="F112" i="13"/>
  <c r="G112" i="13" s="1"/>
  <c r="F78" i="13"/>
  <c r="G78" i="13" s="1"/>
  <c r="F93" i="13"/>
  <c r="G93" i="13" s="1"/>
  <c r="F30" i="13"/>
  <c r="G30" i="13" s="1"/>
  <c r="F81" i="13"/>
  <c r="G81" i="13" s="1"/>
  <c r="F91" i="13"/>
  <c r="G91" i="13" s="1"/>
  <c r="O91" i="13" s="1"/>
  <c r="F31" i="13"/>
  <c r="G31" i="13" s="1"/>
  <c r="O31" i="13" s="1"/>
  <c r="F12" i="13"/>
  <c r="G12" i="13" s="1"/>
  <c r="O12" i="13" s="1"/>
  <c r="F68" i="13"/>
  <c r="G68" i="13" s="1"/>
  <c r="O68" i="13" s="1"/>
  <c r="F26" i="13"/>
  <c r="G26" i="13" s="1"/>
  <c r="F25" i="13"/>
  <c r="G25" i="13" s="1"/>
  <c r="O25" i="13" s="1"/>
  <c r="F24" i="13"/>
  <c r="G24" i="13" s="1"/>
  <c r="O24" i="13" s="1"/>
  <c r="F40" i="13"/>
  <c r="G40" i="13" s="1"/>
  <c r="O40" i="13" s="1"/>
  <c r="F36" i="13"/>
  <c r="G36" i="13" s="1"/>
  <c r="O36" i="13" s="1"/>
  <c r="F67" i="13"/>
  <c r="G67" i="13" s="1"/>
  <c r="O67" i="13" s="1"/>
  <c r="F62" i="13"/>
  <c r="G62" i="13" s="1"/>
  <c r="O62" i="13" s="1"/>
  <c r="F73" i="13"/>
  <c r="G73" i="13" s="1"/>
  <c r="O73" i="13" s="1"/>
  <c r="F22" i="13"/>
  <c r="G22" i="13" s="1"/>
  <c r="O22" i="13" s="1"/>
  <c r="F60" i="13"/>
  <c r="G60" i="13" s="1"/>
  <c r="F46" i="13"/>
  <c r="G46" i="13" s="1"/>
  <c r="F101" i="13"/>
  <c r="G101" i="13" s="1"/>
  <c r="O101" i="13" s="1"/>
  <c r="F43" i="13"/>
  <c r="G43" i="13" s="1"/>
  <c r="O43" i="13" s="1"/>
  <c r="F82" i="13"/>
  <c r="G82" i="13" s="1"/>
  <c r="O82" i="13" s="1"/>
  <c r="F111" i="13"/>
  <c r="G111" i="13" s="1"/>
  <c r="O111" i="13" s="1"/>
  <c r="F69" i="13"/>
  <c r="G69" i="13" s="1"/>
  <c r="O69" i="13" s="1"/>
  <c r="F95" i="13"/>
  <c r="G95" i="13" s="1"/>
  <c r="O95" i="13" s="1"/>
  <c r="F21" i="13"/>
  <c r="G21" i="13" s="1"/>
  <c r="O21" i="13" s="1"/>
  <c r="F66" i="13"/>
  <c r="G66" i="13" s="1"/>
  <c r="O66" i="13" s="1"/>
  <c r="F49" i="13"/>
  <c r="G49" i="13" s="1"/>
  <c r="O49" i="13" s="1"/>
  <c r="F90" i="13"/>
  <c r="G90" i="13" s="1"/>
  <c r="O90" i="13" s="1"/>
  <c r="F77" i="13"/>
  <c r="G77" i="13" s="1"/>
  <c r="O77" i="13" s="1"/>
  <c r="F100" i="13"/>
  <c r="G100" i="13" s="1"/>
  <c r="O100" i="13" s="1"/>
  <c r="F38" i="13"/>
  <c r="G38" i="13" s="1"/>
  <c r="F64" i="13"/>
  <c r="G64" i="13" s="1"/>
  <c r="O64" i="13" s="1"/>
  <c r="F56" i="13"/>
  <c r="G56" i="13" s="1"/>
  <c r="F87" i="13"/>
  <c r="G87" i="13" s="1"/>
  <c r="O87" i="13" s="1"/>
  <c r="Q10" i="13"/>
  <c r="F110" i="13"/>
  <c r="G110" i="13" s="1"/>
  <c r="O110" i="13" s="1"/>
  <c r="F28" i="13"/>
  <c r="G28" i="13" s="1"/>
  <c r="O28" i="13" s="1"/>
  <c r="F92" i="13"/>
  <c r="G92" i="13" s="1"/>
  <c r="O92" i="13" s="1"/>
  <c r="F105" i="13"/>
  <c r="G105" i="13" s="1"/>
  <c r="O105" i="13" s="1"/>
  <c r="F103" i="13"/>
  <c r="G103" i="13" s="1"/>
  <c r="O103" i="13" s="1"/>
  <c r="F71" i="13"/>
  <c r="G71" i="13" s="1"/>
  <c r="O71" i="13" s="1"/>
  <c r="F57" i="13"/>
  <c r="G57" i="13" s="1"/>
  <c r="O57" i="13" s="1"/>
  <c r="F50" i="13"/>
  <c r="G50" i="13" s="1"/>
  <c r="O50" i="13" s="1"/>
  <c r="F98" i="13"/>
  <c r="G98" i="13" s="1"/>
  <c r="F70" i="13"/>
  <c r="G70" i="13" s="1"/>
  <c r="O70" i="13" s="1"/>
  <c r="F114" i="13"/>
  <c r="G114" i="13" s="1"/>
  <c r="O114" i="13" s="1"/>
  <c r="F47" i="13"/>
  <c r="G47" i="13" s="1"/>
  <c r="F15" i="13"/>
  <c r="G15" i="13" s="1"/>
  <c r="O15" i="13" s="1"/>
  <c r="F23" i="13"/>
  <c r="G23" i="13" s="1"/>
  <c r="F108" i="13"/>
  <c r="G108" i="13" s="1"/>
  <c r="O108" i="13" s="1"/>
  <c r="F94" i="13"/>
  <c r="G94" i="13" s="1"/>
  <c r="O94" i="13" s="1"/>
  <c r="F107" i="13"/>
  <c r="G107" i="13" s="1"/>
  <c r="O107" i="13" s="1"/>
  <c r="F32" i="13"/>
  <c r="G32" i="13" s="1"/>
  <c r="O32" i="13" s="1"/>
  <c r="F104" i="13"/>
  <c r="G104" i="13" s="1"/>
  <c r="O104" i="13" s="1"/>
  <c r="F29" i="13"/>
  <c r="G29" i="13" s="1"/>
  <c r="O29" i="13" s="1"/>
  <c r="F54" i="13"/>
  <c r="G54" i="13" s="1"/>
  <c r="F109" i="13"/>
  <c r="G109" i="13" s="1"/>
  <c r="O109" i="13" s="1"/>
  <c r="F13" i="13"/>
  <c r="G13" i="13" s="1"/>
  <c r="O13" i="13" s="1"/>
  <c r="F35" i="13"/>
  <c r="G35" i="13" s="1"/>
  <c r="F14" i="13"/>
  <c r="G14" i="13" s="1"/>
  <c r="O14" i="13" s="1"/>
  <c r="F65" i="13"/>
  <c r="G65" i="13" s="1"/>
  <c r="O65" i="13" s="1"/>
  <c r="F55" i="13"/>
  <c r="G55" i="13" s="1"/>
  <c r="O55" i="13" s="1"/>
  <c r="F106" i="13"/>
  <c r="G106" i="13" s="1"/>
  <c r="O106" i="13" s="1"/>
  <c r="F19" i="13"/>
  <c r="G19" i="13" s="1"/>
  <c r="O19" i="13" s="1"/>
  <c r="F58" i="13"/>
  <c r="G58" i="13" s="1"/>
  <c r="O58" i="13" s="1"/>
  <c r="F83" i="13"/>
  <c r="G83" i="13" s="1"/>
  <c r="O83" i="13" s="1"/>
  <c r="F63" i="13"/>
  <c r="G63" i="13" s="1"/>
  <c r="O63" i="13" s="1"/>
  <c r="F45" i="13"/>
  <c r="G45" i="13" s="1"/>
  <c r="O45" i="13" s="1"/>
  <c r="F76" i="13"/>
  <c r="G76" i="13" s="1"/>
  <c r="F97" i="13"/>
  <c r="G97" i="13" s="1"/>
  <c r="O97" i="13" s="1"/>
  <c r="F18" i="13"/>
  <c r="G18" i="13" s="1"/>
  <c r="O18" i="13" s="1"/>
  <c r="F74" i="13"/>
  <c r="G74" i="13" s="1"/>
  <c r="F80" i="13"/>
  <c r="G80" i="13" s="1"/>
  <c r="O80" i="13" s="1"/>
  <c r="F41" i="13"/>
  <c r="G41" i="13" s="1"/>
  <c r="O41" i="13" s="1"/>
  <c r="F27" i="13"/>
  <c r="G27" i="13" s="1"/>
  <c r="O27" i="13" s="1"/>
  <c r="F61" i="13"/>
  <c r="G61" i="13" s="1"/>
  <c r="O61" i="13" s="1"/>
  <c r="F42" i="13"/>
  <c r="G42" i="13" s="1"/>
  <c r="O42" i="13" s="1"/>
  <c r="F53" i="13"/>
  <c r="G53" i="13" s="1"/>
  <c r="F102" i="13"/>
  <c r="G102" i="13" s="1"/>
  <c r="O102" i="13" s="1"/>
  <c r="F48" i="13"/>
  <c r="G48" i="13" s="1"/>
  <c r="O48" i="13" s="1"/>
  <c r="F88" i="13"/>
  <c r="G88" i="13" s="1"/>
  <c r="F33" i="13"/>
  <c r="G33" i="13" s="1"/>
  <c r="O33" i="13" s="1"/>
  <c r="F20" i="13"/>
  <c r="G20" i="13" s="1"/>
  <c r="O20" i="13" s="1"/>
  <c r="F89" i="13"/>
  <c r="G89" i="13" s="1"/>
  <c r="O89" i="13" s="1"/>
  <c r="F96" i="13"/>
  <c r="G96" i="13" s="1"/>
  <c r="O96" i="13" s="1"/>
  <c r="F85" i="13"/>
  <c r="G85" i="13" s="1"/>
  <c r="O85" i="13" s="1"/>
  <c r="F39" i="13"/>
  <c r="G39" i="13" s="1"/>
  <c r="O39" i="13" s="1"/>
  <c r="F99" i="13"/>
  <c r="G99" i="13" s="1"/>
  <c r="O99" i="13" s="1"/>
  <c r="F11" i="13"/>
  <c r="G11" i="13" s="1"/>
  <c r="O11" i="13" s="1"/>
  <c r="F34" i="13"/>
  <c r="G34" i="13" s="1"/>
  <c r="F59" i="13"/>
  <c r="G59" i="13" s="1"/>
  <c r="O59" i="13" s="1"/>
  <c r="F72" i="13"/>
  <c r="G72" i="13" s="1"/>
  <c r="O72" i="13" s="1"/>
  <c r="F16" i="13"/>
  <c r="G16" i="13" s="1"/>
  <c r="O16" i="13" s="1"/>
  <c r="F79" i="13"/>
  <c r="G79" i="13" s="1"/>
  <c r="O79" i="13" s="1"/>
  <c r="F52" i="13"/>
  <c r="G52" i="13" s="1"/>
  <c r="O52" i="13" s="1"/>
  <c r="F75" i="13"/>
  <c r="G75" i="13" s="1"/>
  <c r="O75" i="13" s="1"/>
  <c r="F17" i="13"/>
  <c r="G17" i="13" s="1"/>
  <c r="O17" i="13" s="1"/>
  <c r="F84" i="13"/>
  <c r="G84" i="13" s="1"/>
  <c r="O84" i="13" s="1"/>
  <c r="F10" i="13"/>
  <c r="G10" i="13" s="1"/>
  <c r="O10" i="13" s="1"/>
  <c r="H98" i="13" l="1"/>
  <c r="I98" i="13" s="1"/>
  <c r="N98" i="13" s="1"/>
  <c r="O98" i="13"/>
  <c r="H26" i="13"/>
  <c r="I26" i="13" s="1"/>
  <c r="N26" i="13" s="1"/>
  <c r="O26" i="13"/>
  <c r="H78" i="13"/>
  <c r="I78" i="13" s="1"/>
  <c r="N78" i="13" s="1"/>
  <c r="O78" i="13"/>
  <c r="H47" i="13"/>
  <c r="I47" i="13" s="1"/>
  <c r="N47" i="13" s="1"/>
  <c r="O47" i="13"/>
  <c r="H81" i="13"/>
  <c r="I81" i="13" s="1"/>
  <c r="N81" i="13" s="1"/>
  <c r="O81" i="13"/>
  <c r="H44" i="13"/>
  <c r="O44" i="13"/>
  <c r="H53" i="13"/>
  <c r="I53" i="13" s="1"/>
  <c r="N53" i="13" s="1"/>
  <c r="O53" i="13"/>
  <c r="H46" i="13"/>
  <c r="I46" i="13" s="1"/>
  <c r="N46" i="13" s="1"/>
  <c r="O46" i="13"/>
  <c r="H30" i="13"/>
  <c r="I30" i="13" s="1"/>
  <c r="N30" i="13" s="1"/>
  <c r="O30" i="13"/>
  <c r="H74" i="13"/>
  <c r="O74" i="13"/>
  <c r="H54" i="13"/>
  <c r="I54" i="13" s="1"/>
  <c r="N54" i="13" s="1"/>
  <c r="O54" i="13"/>
  <c r="H35" i="13"/>
  <c r="I35" i="13" s="1"/>
  <c r="N35" i="13" s="1"/>
  <c r="O35" i="13"/>
  <c r="H38" i="13"/>
  <c r="O38" i="13"/>
  <c r="H112" i="13"/>
  <c r="I112" i="13" s="1"/>
  <c r="N112" i="13" s="1"/>
  <c r="O112" i="13"/>
  <c r="H34" i="13"/>
  <c r="I34" i="13" s="1"/>
  <c r="N34" i="13" s="1"/>
  <c r="O34" i="13"/>
  <c r="H88" i="13"/>
  <c r="I88" i="13" s="1"/>
  <c r="N88" i="13" s="1"/>
  <c r="O88" i="13"/>
  <c r="H76" i="13"/>
  <c r="I76" i="13" s="1"/>
  <c r="N76" i="13" s="1"/>
  <c r="O76" i="13"/>
  <c r="H23" i="13"/>
  <c r="I23" i="13" s="1"/>
  <c r="N23" i="13" s="1"/>
  <c r="O23" i="13"/>
  <c r="H56" i="13"/>
  <c r="I56" i="13" s="1"/>
  <c r="N56" i="13" s="1"/>
  <c r="O56" i="13"/>
  <c r="H60" i="13"/>
  <c r="I60" i="13" s="1"/>
  <c r="N60" i="13" s="1"/>
  <c r="O60" i="13"/>
  <c r="H93" i="13"/>
  <c r="I93" i="13" s="1"/>
  <c r="N93" i="13" s="1"/>
  <c r="O93" i="13"/>
  <c r="H42" i="13"/>
  <c r="I42" i="13" s="1"/>
  <c r="N42" i="13" s="1"/>
  <c r="H114" i="13"/>
  <c r="I114" i="13" s="1"/>
  <c r="N114" i="13" s="1"/>
  <c r="H11" i="13"/>
  <c r="H10" i="13"/>
  <c r="N10" i="13" s="1"/>
  <c r="H62" i="13"/>
  <c r="H63" i="13"/>
  <c r="H55" i="13"/>
  <c r="I55" i="13" s="1"/>
  <c r="N55" i="13" s="1"/>
  <c r="H49" i="13"/>
  <c r="H68" i="13"/>
  <c r="I68" i="13" s="1"/>
  <c r="N68" i="13" s="1"/>
  <c r="H89" i="13"/>
  <c r="I89" i="13" s="1"/>
  <c r="N89" i="13" s="1"/>
  <c r="H17" i="13"/>
  <c r="I17" i="13" s="1"/>
  <c r="N17" i="13" s="1"/>
  <c r="H39" i="13"/>
  <c r="I39" i="13" s="1"/>
  <c r="N39" i="13" s="1"/>
  <c r="H20" i="13"/>
  <c r="I20" i="13" s="1"/>
  <c r="N20" i="13" s="1"/>
  <c r="H108" i="13"/>
  <c r="I108" i="13" s="1"/>
  <c r="N108" i="13" s="1"/>
  <c r="L81" i="13"/>
  <c r="H37" i="13"/>
  <c r="I37" i="13" s="1"/>
  <c r="N37" i="13" s="1"/>
  <c r="H85" i="13"/>
  <c r="I85" i="13" s="1"/>
  <c r="N85" i="13" s="1"/>
  <c r="H33" i="13"/>
  <c r="I33" i="13" s="1"/>
  <c r="N33" i="13" s="1"/>
  <c r="H13" i="13"/>
  <c r="I13" i="13" s="1"/>
  <c r="N13" i="13" s="1"/>
  <c r="H90" i="13"/>
  <c r="I90" i="13" s="1"/>
  <c r="N90" i="13" s="1"/>
  <c r="H21" i="13"/>
  <c r="I21" i="13" s="1"/>
  <c r="N21" i="13" s="1"/>
  <c r="H27" i="13"/>
  <c r="I27" i="13" s="1"/>
  <c r="N27" i="13" s="1"/>
  <c r="H109" i="13"/>
  <c r="I109" i="13" s="1"/>
  <c r="N109" i="13" s="1"/>
  <c r="H106" i="13"/>
  <c r="I106" i="13" s="1"/>
  <c r="N106" i="13" s="1"/>
  <c r="H40" i="13"/>
  <c r="I40" i="13" s="1"/>
  <c r="N40" i="13" s="1"/>
  <c r="H31" i="13"/>
  <c r="H113" i="13"/>
  <c r="I113" i="13" s="1"/>
  <c r="N113" i="13" s="1"/>
  <c r="H91" i="13"/>
  <c r="I91" i="13" s="1"/>
  <c r="N91" i="13" s="1"/>
  <c r="H16" i="13"/>
  <c r="H96" i="13"/>
  <c r="I96" i="13" s="1"/>
  <c r="N96" i="13" s="1"/>
  <c r="H83" i="13"/>
  <c r="I83" i="13" s="1"/>
  <c r="N83" i="13" s="1"/>
  <c r="H29" i="13"/>
  <c r="H18" i="13"/>
  <c r="H22" i="13"/>
  <c r="I22" i="13" s="1"/>
  <c r="N22" i="13" s="1"/>
  <c r="H12" i="13"/>
  <c r="I12" i="13" s="1"/>
  <c r="N12" i="13" s="1"/>
  <c r="H80" i="13"/>
  <c r="I80" i="13" s="1"/>
  <c r="N80" i="13" s="1"/>
  <c r="H100" i="13"/>
  <c r="I100" i="13" s="1"/>
  <c r="N100" i="13" s="1"/>
  <c r="H84" i="13"/>
  <c r="I84" i="13" s="1"/>
  <c r="N84" i="13" s="1"/>
  <c r="H45" i="13"/>
  <c r="I45" i="13" s="1"/>
  <c r="N45" i="13" s="1"/>
  <c r="H19" i="13"/>
  <c r="I19" i="13" s="1"/>
  <c r="N19" i="13" s="1"/>
  <c r="H65" i="13"/>
  <c r="I65" i="13" s="1"/>
  <c r="N65" i="13" s="1"/>
  <c r="H64" i="13"/>
  <c r="I64" i="13" s="1"/>
  <c r="N64" i="13" s="1"/>
  <c r="H102" i="13"/>
  <c r="I102" i="13" s="1"/>
  <c r="N102" i="13" s="1"/>
  <c r="H66" i="13"/>
  <c r="I66" i="13" s="1"/>
  <c r="N66" i="13" s="1"/>
  <c r="H104" i="13"/>
  <c r="I104" i="13" s="1"/>
  <c r="N104" i="13" s="1"/>
  <c r="H107" i="13"/>
  <c r="I107" i="13" s="1"/>
  <c r="N107" i="13" s="1"/>
  <c r="H82" i="13"/>
  <c r="I82" i="13" s="1"/>
  <c r="N82" i="13" s="1"/>
  <c r="H25" i="13"/>
  <c r="I25" i="13" s="1"/>
  <c r="N25" i="13" s="1"/>
  <c r="H87" i="13"/>
  <c r="I87" i="13" s="1"/>
  <c r="N87" i="13" s="1"/>
  <c r="H79" i="13"/>
  <c r="I79" i="13" s="1"/>
  <c r="N79" i="13" s="1"/>
  <c r="H32" i="13"/>
  <c r="I32" i="13" s="1"/>
  <c r="N32" i="13" s="1"/>
  <c r="H58" i="13"/>
  <c r="I58" i="13" s="1"/>
  <c r="N58" i="13" s="1"/>
  <c r="H71" i="13"/>
  <c r="I71" i="13" s="1"/>
  <c r="N71" i="13" s="1"/>
  <c r="Q5" i="13"/>
  <c r="H61" i="13"/>
  <c r="I61" i="13" s="1"/>
  <c r="N61" i="13" s="1"/>
  <c r="H94" i="13"/>
  <c r="I94" i="13" s="1"/>
  <c r="N94" i="13" s="1"/>
  <c r="Q6" i="13"/>
  <c r="H77" i="13"/>
  <c r="I77" i="13" s="1"/>
  <c r="N77" i="13" s="1"/>
  <c r="H95" i="13"/>
  <c r="I95" i="13" s="1"/>
  <c r="N95" i="13" s="1"/>
  <c r="H111" i="13"/>
  <c r="I111" i="13" s="1"/>
  <c r="N111" i="13" s="1"/>
  <c r="H43" i="13"/>
  <c r="I43" i="13" s="1"/>
  <c r="N43" i="13" s="1"/>
  <c r="H36" i="13"/>
  <c r="I36" i="13" s="1"/>
  <c r="N36" i="13" s="1"/>
  <c r="H24" i="13"/>
  <c r="I24" i="13" s="1"/>
  <c r="N24" i="13" s="1"/>
  <c r="H59" i="13"/>
  <c r="I59" i="13" s="1"/>
  <c r="N59" i="13" s="1"/>
  <c r="H57" i="13"/>
  <c r="I57" i="13" s="1"/>
  <c r="N57" i="13" s="1"/>
  <c r="H110" i="13"/>
  <c r="I110" i="13" s="1"/>
  <c r="N110" i="13" s="1"/>
  <c r="H69" i="13"/>
  <c r="I69" i="13" s="1"/>
  <c r="N69" i="13" s="1"/>
  <c r="H67" i="13"/>
  <c r="I67" i="13" s="1"/>
  <c r="N67" i="13" s="1"/>
  <c r="H73" i="13"/>
  <c r="I73" i="13" s="1"/>
  <c r="N73" i="13" s="1"/>
  <c r="H75" i="13"/>
  <c r="I75" i="13" s="1"/>
  <c r="N75" i="13" s="1"/>
  <c r="H97" i="13"/>
  <c r="I97" i="13" s="1"/>
  <c r="N97" i="13" s="1"/>
  <c r="H50" i="13"/>
  <c r="I50" i="13" s="1"/>
  <c r="N50" i="13" s="1"/>
  <c r="H92" i="13"/>
  <c r="I92" i="13" s="1"/>
  <c r="N92" i="13" s="1"/>
  <c r="H99" i="13"/>
  <c r="I99" i="13" s="1"/>
  <c r="N99" i="13" s="1"/>
  <c r="H52" i="13"/>
  <c r="I52" i="13" s="1"/>
  <c r="N52" i="13" s="1"/>
  <c r="H72" i="13"/>
  <c r="I72" i="13" s="1"/>
  <c r="N72" i="13" s="1"/>
  <c r="H48" i="13"/>
  <c r="I48" i="13" s="1"/>
  <c r="N48" i="13" s="1"/>
  <c r="H41" i="13"/>
  <c r="I41" i="13" s="1"/>
  <c r="N41" i="13" s="1"/>
  <c r="H14" i="13"/>
  <c r="I14" i="13" s="1"/>
  <c r="N14" i="13" s="1"/>
  <c r="H15" i="13"/>
  <c r="I15" i="13" s="1"/>
  <c r="N15" i="13" s="1"/>
  <c r="H70" i="13"/>
  <c r="I70" i="13" s="1"/>
  <c r="N70" i="13" s="1"/>
  <c r="H103" i="13"/>
  <c r="I103" i="13" s="1"/>
  <c r="N103" i="13" s="1"/>
  <c r="H105" i="13"/>
  <c r="I105" i="13" s="1"/>
  <c r="N105" i="13" s="1"/>
  <c r="H28" i="13"/>
  <c r="I28" i="13" s="1"/>
  <c r="N28" i="13" s="1"/>
  <c r="H86" i="13"/>
  <c r="I86" i="13" s="1"/>
  <c r="N86" i="13" s="1"/>
  <c r="H101" i="13"/>
  <c r="I101" i="13" s="1"/>
  <c r="N101" i="13" s="1"/>
  <c r="H51" i="13"/>
  <c r="I51" i="13" s="1"/>
  <c r="N51" i="13" s="1"/>
  <c r="I11" i="13" l="1"/>
  <c r="N11" i="13" s="1"/>
  <c r="L54" i="13"/>
  <c r="L56" i="13"/>
  <c r="L78" i="13"/>
  <c r="L30" i="13"/>
  <c r="L98" i="13"/>
  <c r="L76" i="13"/>
  <c r="L53" i="13"/>
  <c r="L23" i="13"/>
  <c r="L88" i="13"/>
  <c r="L35" i="13"/>
  <c r="L47" i="13"/>
  <c r="L112" i="13"/>
  <c r="L62" i="13"/>
  <c r="I62" i="13"/>
  <c r="N62" i="13" s="1"/>
  <c r="L49" i="13"/>
  <c r="I49" i="13"/>
  <c r="N49" i="13" s="1"/>
  <c r="L74" i="13"/>
  <c r="I74" i="13"/>
  <c r="N74" i="13" s="1"/>
  <c r="L44" i="13"/>
  <c r="I44" i="13"/>
  <c r="N44" i="13" s="1"/>
  <c r="L60" i="13"/>
  <c r="L18" i="13"/>
  <c r="I18" i="13"/>
  <c r="N18" i="13" s="1"/>
  <c r="L16" i="13"/>
  <c r="I16" i="13"/>
  <c r="N16" i="13" s="1"/>
  <c r="L93" i="13"/>
  <c r="L34" i="13"/>
  <c r="L31" i="13"/>
  <c r="I31" i="13"/>
  <c r="N31" i="13" s="1"/>
  <c r="L26" i="13"/>
  <c r="L29" i="13"/>
  <c r="I29" i="13"/>
  <c r="N29" i="13" s="1"/>
  <c r="L46" i="13"/>
  <c r="L63" i="13"/>
  <c r="I63" i="13"/>
  <c r="N63" i="13" s="1"/>
  <c r="L38" i="13"/>
  <c r="I38" i="13"/>
  <c r="N38" i="13" s="1"/>
  <c r="L90" i="13"/>
  <c r="L42" i="13"/>
  <c r="L68" i="13"/>
  <c r="L13" i="13"/>
  <c r="L55" i="13"/>
  <c r="L114" i="13"/>
  <c r="L22" i="13"/>
  <c r="L108" i="13"/>
  <c r="L11" i="13"/>
  <c r="L113" i="13"/>
  <c r="L10" i="13"/>
  <c r="L109" i="13"/>
  <c r="L17" i="13"/>
  <c r="L40" i="13"/>
  <c r="L85" i="13"/>
  <c r="L89" i="13"/>
  <c r="L21" i="13"/>
  <c r="L83" i="13"/>
  <c r="L96" i="13"/>
  <c r="L91" i="13"/>
  <c r="L27" i="13"/>
  <c r="L33" i="13"/>
  <c r="L37" i="13"/>
  <c r="L20" i="13"/>
  <c r="L39" i="13"/>
  <c r="Q4" i="13"/>
  <c r="F68" i="3" s="1"/>
  <c r="L12" i="13"/>
  <c r="L106" i="13"/>
  <c r="L70" i="13"/>
  <c r="L73" i="13"/>
  <c r="L43" i="13"/>
  <c r="L95" i="13"/>
  <c r="L58" i="13"/>
  <c r="L101" i="13"/>
  <c r="L15" i="13"/>
  <c r="L97" i="13"/>
  <c r="L57" i="13"/>
  <c r="L71" i="13"/>
  <c r="L107" i="13"/>
  <c r="L102" i="13"/>
  <c r="L65" i="13"/>
  <c r="L80" i="13"/>
  <c r="L105" i="13"/>
  <c r="L32" i="13"/>
  <c r="L87" i="13"/>
  <c r="L45" i="13"/>
  <c r="L100" i="13"/>
  <c r="L28" i="13"/>
  <c r="L41" i="13"/>
  <c r="L52" i="13"/>
  <c r="L94" i="13"/>
  <c r="L61" i="13"/>
  <c r="L48" i="13"/>
  <c r="L92" i="13"/>
  <c r="L24" i="13"/>
  <c r="L82" i="13"/>
  <c r="L51" i="13"/>
  <c r="L72" i="13"/>
  <c r="L99" i="13"/>
  <c r="L69" i="13"/>
  <c r="L111" i="13"/>
  <c r="L77" i="13"/>
  <c r="L86" i="13"/>
  <c r="L103" i="13"/>
  <c r="L14" i="13"/>
  <c r="L50" i="13"/>
  <c r="L75" i="13"/>
  <c r="L67" i="13"/>
  <c r="L110" i="13"/>
  <c r="L59" i="13"/>
  <c r="L36" i="13"/>
  <c r="L79" i="13"/>
  <c r="L25" i="13"/>
  <c r="L104" i="13"/>
  <c r="L66" i="13"/>
  <c r="L64" i="13"/>
  <c r="L19" i="13"/>
  <c r="L84" i="13"/>
  <c r="N5" i="13" l="1"/>
  <c r="F67" i="3" s="1"/>
  <c r="E22" i="14" s="1"/>
  <c r="O2" i="13"/>
  <c r="F57" i="1" s="1"/>
  <c r="J10" i="13"/>
  <c r="R38" i="14" l="1"/>
  <c r="R45" i="14" s="1"/>
  <c r="V38" i="14"/>
  <c r="V45" i="14" s="1"/>
  <c r="L38" i="14"/>
  <c r="L45" i="14" s="1"/>
  <c r="S38" i="14"/>
  <c r="S45" i="14" s="1"/>
  <c r="K38" i="14"/>
  <c r="K45" i="14" s="1"/>
  <c r="H38" i="14"/>
  <c r="H45" i="14" s="1"/>
  <c r="N38" i="14"/>
  <c r="N45" i="14" s="1"/>
  <c r="I38" i="14"/>
  <c r="I45" i="14" s="1"/>
  <c r="O38" i="14"/>
  <c r="O45" i="14" s="1"/>
  <c r="W38" i="14"/>
  <c r="W45" i="14" s="1"/>
  <c r="U38" i="14"/>
  <c r="U45" i="14" s="1"/>
  <c r="X38" i="14"/>
  <c r="X45" i="14" s="1"/>
  <c r="T38" i="14"/>
  <c r="T45" i="14" s="1"/>
  <c r="M38" i="14"/>
  <c r="M45" i="14" s="1"/>
  <c r="J38" i="14"/>
  <c r="J45" i="14" s="1"/>
  <c r="Q38" i="14"/>
  <c r="Q45" i="14" s="1"/>
  <c r="G38" i="14"/>
  <c r="G45" i="14" s="1"/>
  <c r="P38" i="14"/>
  <c r="P45" i="14" s="1"/>
  <c r="E38" i="14"/>
  <c r="E45" i="14" s="1"/>
  <c r="F38" i="14"/>
  <c r="F45" i="14" s="1"/>
  <c r="F69" i="3"/>
  <c r="H8" i="7" s="1"/>
  <c r="J11" i="13"/>
  <c r="K10" i="13"/>
  <c r="U48" i="14" l="1"/>
  <c r="U47" i="14"/>
  <c r="L48" i="14"/>
  <c r="L47" i="14"/>
  <c r="M47" i="14"/>
  <c r="M48" i="14"/>
  <c r="V48" i="14"/>
  <c r="V47" i="14"/>
  <c r="G47" i="14"/>
  <c r="G48" i="14"/>
  <c r="T48" i="14"/>
  <c r="T47" i="14"/>
  <c r="K47" i="14"/>
  <c r="K48" i="14"/>
  <c r="R48" i="14"/>
  <c r="R47" i="14"/>
  <c r="Q48" i="14"/>
  <c r="Q47" i="14"/>
  <c r="X47" i="14"/>
  <c r="X48" i="14"/>
  <c r="I47" i="14"/>
  <c r="I48" i="14"/>
  <c r="S47" i="14"/>
  <c r="S48" i="14"/>
  <c r="J48" i="14"/>
  <c r="J47" i="14"/>
  <c r="N48" i="14"/>
  <c r="N47" i="14"/>
  <c r="P47" i="14"/>
  <c r="P48" i="14"/>
  <c r="W47" i="14"/>
  <c r="W48" i="14"/>
  <c r="H48" i="14"/>
  <c r="H47" i="14"/>
  <c r="O47" i="14"/>
  <c r="O48" i="14"/>
  <c r="F47" i="14"/>
  <c r="F48" i="14"/>
  <c r="E48" i="14"/>
  <c r="E47" i="14"/>
  <c r="J12" i="13"/>
  <c r="K11" i="13"/>
  <c r="H50" i="14" l="1"/>
  <c r="H51" i="14" s="1"/>
  <c r="H52" i="14" s="1"/>
  <c r="H54" i="14" s="1"/>
  <c r="J50" i="14"/>
  <c r="J51" i="14" s="1"/>
  <c r="J52" i="14" s="1"/>
  <c r="J54" i="14" s="1"/>
  <c r="Q50" i="14"/>
  <c r="Q51" i="14" s="1"/>
  <c r="Q52" i="14" s="1"/>
  <c r="Q54" i="14" s="1"/>
  <c r="O50" i="14"/>
  <c r="O51" i="14" s="1"/>
  <c r="O52" i="14" s="1"/>
  <c r="O54" i="14" s="1"/>
  <c r="S50" i="14"/>
  <c r="S51" i="14" s="1"/>
  <c r="S52" i="14" s="1"/>
  <c r="S54" i="14" s="1"/>
  <c r="U50" i="14"/>
  <c r="U51" i="14" s="1"/>
  <c r="U52" i="14" s="1"/>
  <c r="U54" i="14" s="1"/>
  <c r="W50" i="14"/>
  <c r="W51" i="14" s="1"/>
  <c r="W52" i="14" s="1"/>
  <c r="W54" i="14" s="1"/>
  <c r="X50" i="14"/>
  <c r="X51" i="14" s="1"/>
  <c r="X52" i="14" s="1"/>
  <c r="X54" i="14" s="1"/>
  <c r="I50" i="14"/>
  <c r="I51" i="14" s="1"/>
  <c r="I52" i="14" s="1"/>
  <c r="I54" i="14" s="1"/>
  <c r="K50" i="14"/>
  <c r="K51" i="14" s="1"/>
  <c r="K52" i="14" s="1"/>
  <c r="K54" i="14" s="1"/>
  <c r="N50" i="14"/>
  <c r="N51" i="14" s="1"/>
  <c r="N52" i="14" s="1"/>
  <c r="N54" i="14" s="1"/>
  <c r="R50" i="14"/>
  <c r="R51" i="14" s="1"/>
  <c r="R52" i="14" s="1"/>
  <c r="R54" i="14" s="1"/>
  <c r="T50" i="14"/>
  <c r="T51" i="14" s="1"/>
  <c r="T52" i="14" s="1"/>
  <c r="T54" i="14" s="1"/>
  <c r="V50" i="14"/>
  <c r="V51" i="14" s="1"/>
  <c r="V52" i="14" s="1"/>
  <c r="V54" i="14" s="1"/>
  <c r="L50" i="14"/>
  <c r="L51" i="14" s="1"/>
  <c r="L52" i="14" s="1"/>
  <c r="L54" i="14" s="1"/>
  <c r="F50" i="14"/>
  <c r="P50" i="14"/>
  <c r="P51" i="14" s="1"/>
  <c r="P52" i="14" s="1"/>
  <c r="P54" i="14" s="1"/>
  <c r="G50" i="14"/>
  <c r="G51" i="14" s="1"/>
  <c r="G52" i="14" s="1"/>
  <c r="G54" i="14" s="1"/>
  <c r="M50" i="14"/>
  <c r="M51" i="14" s="1"/>
  <c r="M52" i="14" s="1"/>
  <c r="M54" i="14" s="1"/>
  <c r="E50" i="14"/>
  <c r="E51" i="14" s="1"/>
  <c r="E52" i="14" s="1"/>
  <c r="E54" i="14" s="1"/>
  <c r="E55" i="14" s="1"/>
  <c r="E58" i="14" s="1"/>
  <c r="J13" i="13"/>
  <c r="K12" i="13"/>
  <c r="H10" i="7"/>
  <c r="H12" i="7" l="1"/>
  <c r="H11" i="7"/>
  <c r="H13" i="7" s="1"/>
  <c r="I56" i="14"/>
  <c r="I59" i="14" s="1"/>
  <c r="I55" i="14"/>
  <c r="I58" i="14" s="1"/>
  <c r="X55" i="14"/>
  <c r="X58" i="14" s="1"/>
  <c r="X56" i="14"/>
  <c r="X59" i="14" s="1"/>
  <c r="N56" i="14"/>
  <c r="N59" i="14" s="1"/>
  <c r="N55" i="14"/>
  <c r="N58" i="14" s="1"/>
  <c r="S56" i="14"/>
  <c r="S59" i="14" s="1"/>
  <c r="S55" i="14"/>
  <c r="S58" i="14" s="1"/>
  <c r="J56" i="14"/>
  <c r="J59" i="14" s="1"/>
  <c r="J55" i="14"/>
  <c r="J58" i="14" s="1"/>
  <c r="M56" i="14"/>
  <c r="M59" i="14" s="1"/>
  <c r="M55" i="14"/>
  <c r="M58" i="14" s="1"/>
  <c r="V56" i="14"/>
  <c r="V59" i="14" s="1"/>
  <c r="V55" i="14"/>
  <c r="V58" i="14" s="1"/>
  <c r="G56" i="14"/>
  <c r="G59" i="14" s="1"/>
  <c r="W55" i="14"/>
  <c r="W58" i="14" s="1"/>
  <c r="W56" i="14"/>
  <c r="W59" i="14" s="1"/>
  <c r="O55" i="14"/>
  <c r="O58" i="14" s="1"/>
  <c r="O56" i="14"/>
  <c r="O59" i="14" s="1"/>
  <c r="R56" i="14"/>
  <c r="R59" i="14" s="1"/>
  <c r="R55" i="14"/>
  <c r="R58" i="14" s="1"/>
  <c r="Q56" i="14"/>
  <c r="Q59" i="14" s="1"/>
  <c r="Q55" i="14"/>
  <c r="Q58" i="14" s="1"/>
  <c r="L56" i="14"/>
  <c r="L59" i="14" s="1"/>
  <c r="L55" i="14"/>
  <c r="L58" i="14" s="1"/>
  <c r="K56" i="14"/>
  <c r="K59" i="14" s="1"/>
  <c r="K55" i="14"/>
  <c r="K58" i="14" s="1"/>
  <c r="T56" i="14"/>
  <c r="T59" i="14" s="1"/>
  <c r="T55" i="14"/>
  <c r="T58" i="14" s="1"/>
  <c r="P55" i="14"/>
  <c r="P58" i="14" s="1"/>
  <c r="P56" i="14"/>
  <c r="P59" i="14" s="1"/>
  <c r="U56" i="14"/>
  <c r="U59" i="14" s="1"/>
  <c r="U55" i="14"/>
  <c r="U58" i="14" s="1"/>
  <c r="H56" i="14"/>
  <c r="H59" i="14" s="1"/>
  <c r="H55" i="14"/>
  <c r="H58" i="14" s="1"/>
  <c r="F51" i="14"/>
  <c r="F52" i="14" s="1"/>
  <c r="F54" i="14" s="1"/>
  <c r="G55" i="14" s="1"/>
  <c r="G58" i="14" s="1"/>
  <c r="J14" i="13"/>
  <c r="K13" i="13"/>
  <c r="H18" i="7" l="1"/>
  <c r="H17" i="7" s="1"/>
  <c r="H19" i="7" s="1"/>
  <c r="H21" i="7" s="1"/>
  <c r="H27" i="7" s="1"/>
  <c r="F56" i="14"/>
  <c r="F59" i="14" s="1"/>
  <c r="I29" i="14" s="1"/>
  <c r="F55" i="14"/>
  <c r="F58" i="14" s="1"/>
  <c r="I28" i="14" s="1"/>
  <c r="J15" i="13"/>
  <c r="K14" i="13"/>
  <c r="F70" i="3" l="1"/>
  <c r="F71" i="3" s="1"/>
  <c r="F70" i="1" s="1"/>
  <c r="J28" i="14"/>
  <c r="F64" i="1" s="1"/>
  <c r="J29" i="14"/>
  <c r="F65" i="1" s="1"/>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J114" i="13" s="1"/>
  <c r="K112" i="13"/>
  <c r="K113" i="13" l="1"/>
  <c r="M2" i="13" l="1"/>
  <c r="K114" i="13"/>
  <c r="K115" i="13" s="1"/>
  <c r="F56" i="1" l="1"/>
  <c r="F53" i="3"/>
  <c r="F55" i="3" s="1"/>
  <c r="K127" i="1" l="1"/>
  <c r="F58" i="1"/>
  <c r="F56" i="3"/>
  <c r="F59" i="1" s="1"/>
</calcChain>
</file>

<file path=xl/comments1.xml><?xml version="1.0" encoding="utf-8"?>
<comments xmlns="http://schemas.openxmlformats.org/spreadsheetml/2006/main">
  <authors>
    <author>dmorgan</author>
    <author>bdemsc</author>
    <author>a0272042</author>
    <author>Alex Triano</author>
    <author>Ma, Dengrong</author>
  </authors>
  <commentList>
    <comment ref="F14" authorId="0" shapeId="0">
      <text>
        <r>
          <rPr>
            <b/>
            <sz val="8"/>
            <color indexed="81"/>
            <rFont val="Tahoma"/>
            <family val="2"/>
          </rPr>
          <t>The minimum (GND-Vsys) must be greater than 9V.</t>
        </r>
      </text>
    </comment>
    <comment ref="F16" authorId="0" shapeId="0">
      <text>
        <r>
          <rPr>
            <b/>
            <sz val="8"/>
            <color indexed="81"/>
            <rFont val="Tahoma"/>
            <family val="2"/>
          </rPr>
          <t>The maximum (GND-Vsys) must be no greater than 80V.</t>
        </r>
      </text>
    </comment>
    <comment ref="F18" authorId="0" shape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0" authorId="1" shapeId="0">
      <text>
        <r>
          <rPr>
            <b/>
            <sz val="8"/>
            <color indexed="81"/>
            <rFont val="Tahoma"/>
            <family val="2"/>
          </rPr>
          <t>For LM5067, the current limit threshold is 50mV.</t>
        </r>
      </text>
    </comment>
    <comment ref="F22" authorId="2" shapeId="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3" authorId="0" shape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4" authorId="2" shapeId="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9" authorId="2" shapeId="0">
      <text>
        <r>
          <rPr>
            <b/>
            <sz val="9"/>
            <color indexed="81"/>
            <rFont val="Tahoma"/>
            <family val="2"/>
          </rPr>
          <t xml:space="preserve">Ensure that the minimum current limit is above maximum load. </t>
        </r>
      </text>
    </comment>
    <comment ref="F30" authorId="2" shapeId="0">
      <text>
        <r>
          <rPr>
            <b/>
            <sz val="9"/>
            <color indexed="81"/>
            <rFont val="Tahoma"/>
            <family val="2"/>
          </rPr>
          <t xml:space="preserve">Ensure that the minimum current limit is above maximum load. </t>
        </r>
        <r>
          <rPr>
            <sz val="9"/>
            <color indexed="81"/>
            <rFont val="Tahoma"/>
            <family val="2"/>
          </rPr>
          <t xml:space="preserve">
</t>
        </r>
      </text>
    </comment>
    <comment ref="F31" authorId="2" shapeId="0">
      <text>
        <r>
          <rPr>
            <b/>
            <sz val="9"/>
            <color indexed="81"/>
            <rFont val="Tahoma"/>
            <family val="2"/>
          </rPr>
          <t xml:space="preserve">Ensure that the minimum current limit is above maximum load. </t>
        </r>
        <r>
          <rPr>
            <sz val="9"/>
            <color indexed="81"/>
            <rFont val="Tahoma"/>
            <family val="2"/>
          </rPr>
          <t xml:space="preserve">
</t>
        </r>
      </text>
    </comment>
    <comment ref="F32" authorId="0" shapeId="0">
      <text>
        <r>
          <rPr>
            <b/>
            <sz val="8"/>
            <color indexed="81"/>
            <rFont val="Tahoma"/>
            <family val="2"/>
          </rPr>
          <t>The power dissipation is calculated using the maximum normal load current.
Ensure the selected resistor is rated for this power dissipation.</t>
        </r>
      </text>
    </comment>
    <comment ref="F36" authorId="3" shapeId="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46" authorId="2" shapeId="0">
      <text>
        <r>
          <rPr>
            <sz val="9"/>
            <color indexed="81"/>
            <rFont val="Tahoma"/>
            <family val="2"/>
          </rPr>
          <t xml:space="preserve">If FET temperature is too high, increase the # of FETs, reduce the load, or reduce the RθJA by adding more heat sinking to MOSFETs. 
</t>
        </r>
      </text>
    </comment>
    <comment ref="F48" authorId="2" shapeId="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51" authorId="2" shapeId="0">
      <text>
        <r>
          <rPr>
            <sz val="9"/>
            <color indexed="81"/>
            <rFont val="Tahoma"/>
            <family val="2"/>
          </rPr>
          <t xml:space="preserve">Cell turns Red if the actual power limit is below Minimum Power Limit (cell F46)
</t>
        </r>
      </text>
    </comment>
    <comment ref="F52" authorId="4" shapeId="0">
      <text>
        <r>
          <rPr>
            <b/>
            <sz val="8"/>
            <color indexed="81"/>
            <rFont val="Tahoma"/>
            <family val="2"/>
          </rPr>
          <t>Load will turn-on when Vout decreases under this threshold.</t>
        </r>
      </text>
    </comment>
    <comment ref="F53" authorId="1" shapeId="0">
      <text>
        <r>
          <rPr>
            <b/>
            <sz val="8"/>
            <color indexed="81"/>
            <rFont val="Tahoma"/>
            <family val="2"/>
          </rPr>
          <t>Select if the load will draw current during start-up. 
For no Load, choose constant current and set to zero</t>
        </r>
      </text>
    </comment>
    <comment ref="F55" authorId="1" shapeId="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7" authorId="2" shapeId="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8" authorId="0" shape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60" authorId="2" shapeId="0">
      <text>
        <r>
          <rPr>
            <b/>
            <sz val="9"/>
            <color indexed="81"/>
            <rFont val="Tahoma"/>
            <family val="2"/>
          </rPr>
          <t>Pick closest capacitor that is larger than the Target capacitance</t>
        </r>
        <r>
          <rPr>
            <sz val="9"/>
            <color indexed="81"/>
            <rFont val="Tahoma"/>
            <family val="2"/>
          </rPr>
          <t xml:space="preserve">
</t>
        </r>
      </text>
    </comment>
    <comment ref="F62" authorId="2" shapeId="0">
      <text>
        <r>
          <rPr>
            <sz val="9"/>
            <color indexed="81"/>
            <rFont val="Tahoma"/>
            <family val="2"/>
          </rPr>
          <t xml:space="preserve">A ratio over 1.1 is required and over 1.3 is preferred.  This will account for variation in Power limit and timer.
If there isn't enough margin consider reducing the power limit, reducing the timer, or picking a FET with better SOA, or using more FETs in parallel. </t>
        </r>
      </text>
    </comment>
    <comment ref="F63" authorId="1" shapeId="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4" authorId="2" shapeId="0">
      <text>
        <r>
          <rPr>
            <b/>
            <sz val="9"/>
            <color indexed="81"/>
            <rFont val="Tahoma"/>
            <family val="2"/>
          </rPr>
          <t xml:space="preserve">If these cells are red, there is no suitable slew rate for keeping FET whithin SOA. 
Reduce load at start-up or pick FET with better SOA. </t>
        </r>
      </text>
    </comment>
    <comment ref="F65" authorId="2" shapeId="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6" authorId="2" shapeId="0">
      <text>
        <r>
          <rPr>
            <b/>
            <sz val="9"/>
            <color indexed="81"/>
            <rFont val="Tahoma"/>
            <family val="2"/>
          </rPr>
          <t>Ensure that this is lower than max ss slew rate in the cell above</t>
        </r>
        <r>
          <rPr>
            <sz val="9"/>
            <color indexed="81"/>
            <rFont val="Tahoma"/>
            <family val="2"/>
          </rPr>
          <t xml:space="preserve">
</t>
        </r>
      </text>
    </comment>
    <comment ref="F69" authorId="2" shapeId="0">
      <text>
        <r>
          <rPr>
            <b/>
            <sz val="9"/>
            <color indexed="81"/>
            <rFont val="Tahoma"/>
            <family val="2"/>
          </rPr>
          <t>Ensure that this is lower than max ss slew rate.</t>
        </r>
      </text>
    </comment>
    <comment ref="F70" authorId="2" shapeId="0">
      <text>
        <r>
          <rPr>
            <sz val="9"/>
            <color indexed="81"/>
            <rFont val="Tahoma"/>
            <family val="2"/>
          </rPr>
          <t>A margin of &gt;1.1 is required and a margin of &gt;1.3 is recommended to accout for the variation in the gate current. 
Reduce dv/dt rate to reduce inrush current and increase SOA margin</t>
        </r>
      </text>
    </comment>
    <comment ref="F75" authorId="2" shapeId="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7" authorId="0" shapeId="0">
      <text>
        <r>
          <rPr>
            <b/>
            <sz val="8"/>
            <color indexed="81"/>
            <rFont val="Tahoma"/>
            <family val="2"/>
          </rPr>
          <t>This calculation applies only when the RETRY option is selected.</t>
        </r>
      </text>
    </comment>
    <comment ref="F97" authorId="1" shapeId="0">
      <text>
        <r>
          <rPr>
            <b/>
            <sz val="8"/>
            <color indexed="81"/>
            <rFont val="Tahoma"/>
            <family val="2"/>
          </rPr>
          <t>See the schematics above to select the appropriate option for setting the input voltage UVLO and OVLO thresholds.</t>
        </r>
      </text>
    </comment>
    <comment ref="F98" authorId="0" shapeId="0">
      <text>
        <r>
          <rPr>
            <b/>
            <sz val="8"/>
            <color indexed="81"/>
            <rFont val="Tahoma"/>
            <family val="2"/>
          </rPr>
          <t>This threshold must be between 9V and 80V.</t>
        </r>
      </text>
    </comment>
    <comment ref="F99" authorId="0" shapeId="0">
      <text>
        <r>
          <rPr>
            <b/>
            <sz val="8"/>
            <color indexed="81"/>
            <rFont val="Tahoma"/>
            <family val="2"/>
          </rPr>
          <t>This threshold must be greater than 9V, and less than the upper UVLO threshold.</t>
        </r>
      </text>
    </comment>
    <comment ref="F100" authorId="0" shapeId="0">
      <text>
        <r>
          <rPr>
            <b/>
            <sz val="8"/>
            <color indexed="81"/>
            <rFont val="Tahoma"/>
            <family val="2"/>
          </rPr>
          <t>This threshold must be greater than the upper UVLO Threshold, and less than 80V.</t>
        </r>
      </text>
    </comment>
  </commentList>
</comments>
</file>

<file path=xl/comments2.xml><?xml version="1.0" encoding="utf-8"?>
<comments xmlns="http://schemas.openxmlformats.org/spreadsheetml/2006/main">
  <authors>
    <author>a0272042</author>
    <author>bdemsc</author>
  </authors>
  <commentList>
    <comment ref="D22" authorId="0" shapeId="0">
      <text>
        <r>
          <rPr>
            <b/>
            <sz val="9"/>
            <color indexed="81"/>
            <rFont val="Tahoma"/>
            <family val="2"/>
          </rPr>
          <t>This number may need to be adjusted iteratively based on the result of cell C44.</t>
        </r>
        <r>
          <rPr>
            <sz val="9"/>
            <color indexed="81"/>
            <rFont val="Tahoma"/>
            <family val="2"/>
          </rPr>
          <t xml:space="preserve">
</t>
        </r>
      </text>
    </comment>
    <comment ref="F40" authorId="1"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1" authorId="1"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2" authorId="1"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<sst xmlns="http://schemas.openxmlformats.org/spreadsheetml/2006/main" count="752" uniqueCount="509">
  <si>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</si>
  <si>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</si>
  <si>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</si>
  <si>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</si>
  <si>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</si>
  <si>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</si>
  <si>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</si>
  <si>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</si>
  <si>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</si>
  <si>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</si>
  <si>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</si>
  <si>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</si>
  <si>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</si>
  <si>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</si>
  <si>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</si>
  <si>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</si>
  <si>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</si>
  <si>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</si>
  <si>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</si>
  <si>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</si>
  <si>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</si>
  <si>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</si>
  <si>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</si>
  <si>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</si>
  <si>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</si>
  <si>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</si>
  <si>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</si>
  <si>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</si>
  <si>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</si>
  <si>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</si>
  <si>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</si>
  <si>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</si>
  <si>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</si>
  <si>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</si>
  <si>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</si>
  <si>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</si>
  <si>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</si>
  <si>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</si>
  <si>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</si>
  <si>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</si>
  <si>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</si>
  <si>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</si>
  <si>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</si>
  <si>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</si>
  <si>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</si>
  <si>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</si>
  <si>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</si>
  <si>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</si>
  <si>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</si>
  <si>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</si>
  <si>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</si>
  <si>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</si>
  <si>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</si>
  <si>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</si>
  <si>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</si>
  <si>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</si>
  <si>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</si>
  <si>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</si>
  <si>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</si>
  <si>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</si>
  <si>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</si>
  <si>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</si>
  <si>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</si>
  <si>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</si>
  <si>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</si>
  <si>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</si>
  <si>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</si>
  <si>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</si>
  <si>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</si>
  <si>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</si>
  <si>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</si>
  <si>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</si>
  <si>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</si>
  <si>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</si>
  <si>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</si>
  <si>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</si>
  <si>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</si>
  <si>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</si>
  <si>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</si>
  <si>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</si>
  <si>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</si>
  <si>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</si>
  <si>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</si>
  <si>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</si>
  <si>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</si>
  <si>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</si>
  <si>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</si>
  <si>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</si>
  <si>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</si>
  <si>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</si>
  <si>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</si>
  <si>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</si>
  <si>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</si>
  <si>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t>Resulting Typical Restart Time</t>
  </si>
  <si>
    <t>Resulting Minimum Current Limit</t>
  </si>
  <si>
    <t>Resulting Typical Current Limit</t>
  </si>
  <si>
    <t>Resulting Maximum Current Limit</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</si>
  <si>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</si>
  <si>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</si>
  <si>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</si>
  <si>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</si>
  <si>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</si>
  <si>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</si>
  <si>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</si>
  <si>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r>
      <t>Maximum Power Dissipation in R</t>
    </r>
    <r>
      <rPr>
        <vertAlign val="subscript"/>
        <sz val="10"/>
        <rFont val="Arial"/>
        <family val="2"/>
      </rPr>
      <t>S</t>
    </r>
  </si>
  <si>
    <r>
      <t>I</t>
    </r>
    <r>
      <rPr>
        <b/>
        <vertAlign val="subscript"/>
        <sz val="10"/>
        <rFont val="Arial"/>
        <family val="2"/>
      </rPr>
      <t>D</t>
    </r>
  </si>
  <si>
    <t>Ramp time for output voltage</t>
  </si>
  <si>
    <t>Nominal output voltage</t>
  </si>
  <si>
    <t>Required soft-start capacitance</t>
  </si>
  <si>
    <t>nF</t>
  </si>
  <si>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</si>
  <si>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</si>
  <si>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</si>
  <si>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</si>
  <si>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</si>
  <si>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</si>
  <si>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</si>
  <si>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</si>
  <si>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</si>
  <si>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</si>
  <si>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</si>
  <si>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</si>
  <si>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</si>
  <si>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</si>
  <si>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</si>
  <si>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</si>
  <si>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</si>
  <si>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</si>
  <si>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ILOAD</t>
  </si>
  <si>
    <t xml:space="preserve">Start-up slop </t>
  </si>
  <si>
    <t>QG</t>
  </si>
  <si>
    <t>I_Src</t>
  </si>
  <si>
    <t>RMS</t>
  </si>
  <si>
    <t>PLIM</t>
  </si>
  <si>
    <t>combined</t>
  </si>
  <si>
    <t>I_timer</t>
  </si>
  <si>
    <t>C_timer</t>
  </si>
  <si>
    <t>Final</t>
  </si>
  <si>
    <t>Step 1: Operating Conditions</t>
  </si>
  <si>
    <t>VDS</t>
  </si>
  <si>
    <t>IDS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</si>
  <si>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</si>
  <si>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</si>
  <si>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</si>
  <si>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</si>
  <si>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</si>
  <si>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</si>
  <si>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</si>
  <si>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</si>
  <si>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</si>
  <si>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</si>
  <si>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</si>
  <si>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</si>
  <si>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</si>
  <si>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</si>
  <si>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</si>
  <si>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</si>
  <si>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</si>
  <si>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</si>
  <si>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</si>
  <si>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</si>
  <si>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</si>
  <si>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</si>
  <si>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</si>
  <si>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</si>
  <si>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</si>
  <si>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</si>
  <si>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</si>
  <si>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</si>
  <si>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</si>
  <si>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</si>
  <si>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</si>
  <si>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</si>
  <si>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</si>
  <si>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</si>
  <si>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</si>
  <si>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</si>
  <si>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</si>
  <si>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</si>
  <si>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</si>
  <si>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</si>
  <si>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</si>
  <si>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</si>
  <si>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</si>
  <si>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</si>
  <si>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</si>
  <si>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</si>
  <si>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</si>
  <si>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</si>
  <si>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</si>
  <si>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</si>
  <si>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</si>
  <si>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</si>
  <si>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</si>
  <si>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</si>
  <si>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</si>
  <si>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</si>
  <si>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</si>
  <si>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</si>
  <si>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</si>
  <si>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</si>
  <si>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</si>
  <si>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</si>
  <si>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</si>
  <si>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</si>
  <si>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</si>
  <si>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</si>
  <si>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</si>
  <si>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</si>
  <si>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</si>
  <si>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</si>
  <si>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</si>
  <si>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</si>
  <si>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RDSON</t>
  </si>
  <si>
    <t>Constant Power SOA 100us</t>
  </si>
  <si>
    <t>Constant Power SOA 1ms</t>
  </si>
  <si>
    <t>Constant Power SOA 10ms</t>
  </si>
  <si>
    <t>Constant Power SOA 100ms</t>
  </si>
  <si>
    <t>Second Breakdown 100us</t>
  </si>
  <si>
    <t>Second Breakdown 1ms</t>
  </si>
  <si>
    <t>Second Breakdown 10ms</t>
  </si>
  <si>
    <t>Second Breakdown 100ms</t>
  </si>
  <si>
    <t>Maximum Drain to Source Current</t>
  </si>
  <si>
    <t>CSD17312Q5</t>
  </si>
  <si>
    <t>Maximum Drain to Source Voltage</t>
  </si>
  <si>
    <t>Power</t>
  </si>
  <si>
    <t>IDS intersec</t>
  </si>
  <si>
    <t>IDS plot</t>
  </si>
  <si>
    <t>100us</t>
  </si>
  <si>
    <t>Constant Power</t>
  </si>
  <si>
    <t>VDS plot</t>
  </si>
  <si>
    <t>Custom</t>
  </si>
  <si>
    <t>Supported FETs</t>
  </si>
  <si>
    <t>Fet Data</t>
  </si>
  <si>
    <t>SOA at VINMAX @ 100us</t>
  </si>
  <si>
    <t>RThetaJA</t>
  </si>
  <si>
    <t>Max Junction Temp</t>
  </si>
  <si>
    <t>SOA at VINMAX @ 1ms</t>
  </si>
  <si>
    <t>SOA at VINMAX @ 10ms</t>
  </si>
  <si>
    <t>SOA at VINMAX @ 100ms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</si>
  <si>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</si>
  <si>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</si>
  <si>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</si>
  <si>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</si>
  <si>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</si>
  <si>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</si>
  <si>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</si>
  <si>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</si>
  <si>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</si>
  <si>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</si>
  <si>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</si>
  <si>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</si>
  <si>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</si>
  <si>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</si>
  <si>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</si>
  <si>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</si>
  <si>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</si>
  <si>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</si>
  <si>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</si>
  <si>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</si>
  <si>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</si>
  <si>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</si>
  <si>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</si>
  <si>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</si>
  <si>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</si>
  <si>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</si>
  <si>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</si>
  <si>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</si>
  <si>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</si>
  <si>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</si>
  <si>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 xml:space="preserve">MOSFET's SOA @ </t>
  </si>
  <si>
    <t>Recommended Resistance for:  R1</t>
  </si>
  <si>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</si>
  <si>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</si>
  <si>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</si>
  <si>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</si>
  <si>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</si>
  <si>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</si>
  <si>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t>&lt;= Do these two need to be in the calculator? Do they influence anything later…?</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</si>
  <si>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</si>
  <si>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</si>
  <si>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</si>
  <si>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</si>
  <si>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</si>
  <si>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</si>
  <si>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</si>
  <si>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</si>
  <si>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</si>
  <si>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</si>
  <si>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</si>
  <si>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</si>
  <si>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</si>
  <si>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</si>
  <si>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</si>
  <si>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</si>
  <si>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</si>
  <si>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</si>
  <si>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</si>
  <si>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</si>
  <si>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</si>
  <si>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</si>
  <si>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</si>
  <si>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</si>
  <si>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</si>
  <si>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</si>
  <si>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</si>
  <si>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</si>
  <si>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</si>
  <si>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</si>
  <si>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</si>
  <si>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</si>
  <si>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</si>
  <si>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</si>
  <si>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</si>
  <si>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</si>
  <si>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</si>
  <si>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</si>
  <si>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</si>
  <si>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</si>
  <si>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</si>
  <si>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</si>
  <si>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</si>
  <si>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</si>
  <si>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</si>
  <si>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</si>
  <si>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</si>
  <si>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</si>
  <si>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</si>
  <si>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</si>
  <si>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</si>
  <si>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</si>
  <si>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</si>
  <si>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</si>
  <si>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</si>
  <si>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</si>
  <si>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</si>
  <si>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Insert Picture with Resistor Divider</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</si>
  <si>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</si>
  <si>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</si>
  <si>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</si>
  <si>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</si>
  <si>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</si>
  <si>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</si>
  <si>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</si>
  <si>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</si>
  <si>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</si>
  <si>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</si>
  <si>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</si>
  <si>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</si>
  <si>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</si>
  <si>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</si>
  <si>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</si>
  <si>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</si>
  <si>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</si>
  <si>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</si>
  <si>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</si>
  <si>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</si>
  <si>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</si>
  <si>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</si>
  <si>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</si>
  <si>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</si>
  <si>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</si>
  <si>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</si>
  <si>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</si>
  <si>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</si>
  <si>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</si>
  <si>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</si>
  <si>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</si>
  <si>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</si>
  <si>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</si>
  <si>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</si>
  <si>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</si>
  <si>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</si>
  <si>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</si>
  <si>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</si>
  <si>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</si>
  <si>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</si>
  <si>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</si>
  <si>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</si>
  <si>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</si>
  <si>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</si>
  <si>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</si>
  <si>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</si>
  <si>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</si>
  <si>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</si>
  <si>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</si>
  <si>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</si>
  <si>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</si>
  <si>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CSD16415</t>
  </si>
  <si>
    <t>For Trial Only</t>
  </si>
  <si>
    <t>SOA at VINMAX @ DC</t>
  </si>
  <si>
    <t>Recommended slew Rate (max)</t>
  </si>
  <si>
    <t>Recommended slew Rate (min)</t>
  </si>
  <si>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</si>
  <si>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</si>
  <si>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</si>
  <si>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</si>
  <si>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</si>
  <si>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</si>
  <si>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</si>
  <si>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</si>
  <si>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</si>
  <si>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</si>
  <si>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</si>
  <si>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</si>
  <si>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</si>
  <si>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</si>
  <si>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</si>
  <si>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</si>
  <si>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</si>
  <si>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</si>
  <si>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</si>
  <si>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</si>
  <si>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</si>
  <si>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</si>
  <si>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</si>
  <si>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</si>
  <si>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</si>
  <si>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</si>
  <si>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</si>
  <si>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</si>
  <si>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</si>
  <si>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</si>
  <si>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</si>
  <si>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</si>
  <si>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</si>
  <si>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</si>
  <si>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</si>
  <si>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</si>
  <si>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Min Slew Rate (200 ms start - up) (V/ms)</t>
  </si>
  <si>
    <t># of points</t>
  </si>
  <si>
    <t>mult per point</t>
  </si>
  <si>
    <t xml:space="preserve">Pass? </t>
  </si>
  <si>
    <t>first yes</t>
  </si>
  <si>
    <t>2nd yes</t>
  </si>
  <si>
    <t>N</t>
  </si>
  <si>
    <t>Mult 1</t>
  </si>
  <si>
    <t>mult2</t>
  </si>
  <si>
    <t>Upper bound Slew Rate (1ms start-up) (V/ms)</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</si>
  <si>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</si>
  <si>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</si>
  <si>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</si>
  <si>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</si>
  <si>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</si>
  <si>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2 x Current Limit</t>
  </si>
  <si>
    <t xml:space="preserve">Threshold Voltage CL </t>
  </si>
  <si>
    <t>mA</t>
  </si>
  <si>
    <t>2 x Threshold</t>
  </si>
  <si>
    <t>2 CB:CL Ratio</t>
  </si>
  <si>
    <t>Rpwr =  142000 * PLIM(Vds) * Rs</t>
  </si>
  <si>
    <t>VIN-VEE</t>
  </si>
  <si>
    <t>Vout-VEE</t>
  </si>
  <si>
    <t>Time (ms)</t>
  </si>
  <si>
    <t>Load Turn-On Threshold (Vout-VEE)</t>
  </si>
  <si>
    <t>Minimum Input Diffrerential Voltage (VIN=GND-Vsys)</t>
  </si>
  <si>
    <t>Nominal Input Diffrerential Voltage (VIN=GND-Vsys)</t>
  </si>
  <si>
    <t>Maximum Input Diffrerential Voltage (VIN=GND-Vsys)</t>
  </si>
  <si>
    <t>1ms SOA Current @ Maximum VIN</t>
  </si>
  <si>
    <t>10ms SOA Current @ Maximum VIN</t>
  </si>
  <si>
    <t>100ms  Current at @ Maximum VIN</t>
  </si>
  <si>
    <t>1s or DC SOA Current at @ Maximum VIN</t>
  </si>
  <si>
    <t>Desired Upper UVLO Threshold for VIN</t>
  </si>
  <si>
    <t>Typical Start Time with Maximum VIN (Tstart)</t>
  </si>
  <si>
    <t>Desired Lower OVLO Threshold for VIN</t>
  </si>
  <si>
    <t>Desired Lower UVLO Threshold for VIN</t>
  </si>
  <si>
    <t>Desired Upper OVLO Threshold for VIN</t>
  </si>
  <si>
    <t xml:space="preserve">Resulting Upper OVLO Threshold for VIN = </t>
  </si>
  <si>
    <t xml:space="preserve">Resulting Lower UVLO Threshold for VIN = </t>
  </si>
  <si>
    <t xml:space="preserve">Resulting Lower OVLO Threshold for VIN = </t>
  </si>
  <si>
    <t xml:space="preserve">Resulting Upper UVLO Threshold for VIN = </t>
  </si>
  <si>
    <t>© 2014</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</si>
  <si>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</si>
  <si>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</si>
  <si>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</si>
  <si>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</si>
  <si>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</si>
  <si>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</si>
  <si>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</si>
  <si>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</si>
  <si>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</si>
  <si>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</si>
  <si>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</si>
  <si>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</si>
  <si>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</si>
  <si>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</si>
  <si>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r>
      <t>100</t>
    </r>
    <r>
      <rPr>
        <sz val="10"/>
        <rFont val="Symbol"/>
        <family val="1"/>
        <charset val="2"/>
      </rPr>
      <t>m</t>
    </r>
    <r>
      <rPr>
        <sz val="10"/>
        <rFont val="Arial"/>
        <family val="2"/>
      </rPr>
      <t>s SOA Current (re-use 1ms data if unavailable) @ Maximum VIN</t>
    </r>
  </si>
  <si>
    <r>
      <t>C</t>
    </r>
    <r>
      <rPr>
        <vertAlign val="subscript"/>
        <sz val="10"/>
        <rFont val="Arial"/>
        <family val="2"/>
      </rPr>
      <t>T</t>
    </r>
    <r>
      <rPr>
        <sz val="10"/>
        <rFont val="Arial"/>
        <family val="2"/>
      </rPr>
      <t xml:space="preserve"> =</t>
    </r>
  </si>
  <si>
    <r>
      <t>R</t>
    </r>
    <r>
      <rPr>
        <vertAlign val="subscript"/>
        <sz val="10"/>
        <color theme="1"/>
        <rFont val="Arial"/>
        <family val="2"/>
      </rPr>
      <t>S</t>
    </r>
    <r>
      <rPr>
        <sz val="10"/>
        <color theme="1"/>
        <rFont val="Arial"/>
        <family val="2"/>
      </rPr>
      <t xml:space="preserve"> =</t>
    </r>
  </si>
  <si>
    <r>
      <t xml:space="preserve">                         </t>
    </r>
    <r>
      <rPr>
        <sz val="22"/>
        <color theme="0"/>
        <rFont val="Arial"/>
        <family val="2"/>
      </rPr>
      <t>LM5067 Hot Swap Design Tool</t>
    </r>
  </si>
  <si>
    <r>
      <t>R</t>
    </r>
    <r>
      <rPr>
        <vertAlign val="subscript"/>
        <sz val="10"/>
        <rFont val="Arial"/>
        <family val="2"/>
      </rPr>
      <t>IN</t>
    </r>
    <r>
      <rPr>
        <sz val="10"/>
        <rFont val="Arial"/>
        <family val="2"/>
      </rPr>
      <t xml:space="preserve"> = </t>
    </r>
  </si>
  <si>
    <r>
      <t>4. R</t>
    </r>
    <r>
      <rPr>
        <vertAlign val="subscript"/>
        <sz val="10"/>
        <rFont val="Arial"/>
        <family val="2"/>
      </rPr>
      <t>PG</t>
    </r>
    <r>
      <rPr>
        <sz val="10"/>
        <rFont val="Arial"/>
        <family val="2"/>
      </rPr>
      <t xml:space="preserve"> is required only if PGD is used; this resistors serve as pullup for the open-drain output drivers. </t>
    </r>
  </si>
  <si>
    <r>
      <t>1. Although not mandatory, C</t>
    </r>
    <r>
      <rPr>
        <vertAlign val="subscript"/>
        <sz val="10"/>
        <rFont val="Arial"/>
        <family val="2"/>
      </rPr>
      <t>IN</t>
    </r>
    <r>
      <rPr>
        <sz val="10"/>
        <rFont val="Arial"/>
        <family val="2"/>
      </rPr>
      <t xml:space="preserve"> provides transient suppression at the VIN pin.</t>
    </r>
  </si>
  <si>
    <r>
      <t>Minimum Power Limit to Ensure Vsns &gt; 5mV (P</t>
    </r>
    <r>
      <rPr>
        <vertAlign val="subscript"/>
        <sz val="10"/>
        <rFont val="Arial"/>
        <family val="2"/>
      </rPr>
      <t>LIM,MIN</t>
    </r>
    <r>
      <rPr>
        <sz val="10"/>
        <rFont val="Arial"/>
        <family val="2"/>
      </rPr>
      <t>)</t>
    </r>
  </si>
  <si>
    <t>MOSFET part number</t>
  </si>
  <si>
    <t>2. A TVS clamp from GND to VEE  mandatory to clamp the voltage overshoot upon MOSFET turn-off, e.g. during circuit breaker.</t>
  </si>
  <si>
    <r>
      <t>R</t>
    </r>
    <r>
      <rPr>
        <vertAlign val="subscript"/>
        <sz val="10"/>
        <rFont val="Arial"/>
        <family val="2"/>
      </rPr>
      <t>IN</t>
    </r>
    <r>
      <rPr>
        <sz val="10"/>
        <rFont val="Arial"/>
        <family val="2"/>
      </rPr>
      <t xml:space="preserve"> Power Dissipation</t>
    </r>
  </si>
  <si>
    <t xml:space="preserve">TVS </t>
  </si>
  <si>
    <t xml:space="preserve">IC </t>
  </si>
  <si>
    <t>SMBJ70A</t>
  </si>
  <si>
    <t xml:space="preserve">MOSFET </t>
  </si>
  <si>
    <r>
      <t>R</t>
    </r>
    <r>
      <rPr>
        <vertAlign val="subscript"/>
        <sz val="10"/>
        <rFont val="Arial"/>
        <family val="2"/>
      </rPr>
      <t>PGD</t>
    </r>
    <r>
      <rPr>
        <sz val="10"/>
        <rFont val="Arial"/>
        <family val="2"/>
      </rPr>
      <t xml:space="preserve"> =</t>
    </r>
  </si>
  <si>
    <t>4. Review start-up characteristics and check if FET is operating with reasonable margin, within the SOA curve.</t>
  </si>
  <si>
    <r>
      <t xml:space="preserve">      If not, try adjusting ambient temperature, reducing R</t>
    </r>
    <r>
      <rPr>
        <b/>
        <vertAlign val="subscript"/>
        <sz val="10"/>
        <rFont val="Calibri"/>
        <family val="2"/>
      </rPr>
      <t xml:space="preserve">θJA </t>
    </r>
    <r>
      <rPr>
        <b/>
        <sz val="10"/>
        <rFont val="Calibri"/>
        <family val="2"/>
      </rPr>
      <t>(more FET heat sinking)</t>
    </r>
    <r>
      <rPr>
        <b/>
        <i/>
        <sz val="10"/>
        <rFont val="Arial"/>
        <family val="2"/>
      </rPr>
      <t>, adding more FETs in parallel, or switching to FET with better SOA.</t>
    </r>
  </si>
  <si>
    <t>units</t>
  </si>
  <si>
    <t>Note: If any of the cells above are yellow, then these values are outside of the device's operating range. This will result in the device turning either on or off at its operating limits rather than at the user selected values in yellow.</t>
  </si>
  <si>
    <t>Step 5: UVLO, OVLO, and Rin</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</si>
  <si>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</si>
  <si>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LM5067 Design Tool- Rev. B</t>
  </si>
  <si>
    <t>PSMN4R8-100BSE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</si>
</sst>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E+0"/>
    <numFmt numFmtId="167" formatCode="0.0000"/>
  </numFmts>
  <fonts count="45"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sz val="10"/>
      <color rgb="FF0053FA"/>
      <name val="Arial"/>
      <family val="2"/>
    </font>
    <font>
      <b/>
      <u/>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sz val="10"/>
      <color theme="0"/>
      <name val="Arial"/>
      <family val="2"/>
    </font>
    <font>
      <sz val="10"/>
      <color theme="1"/>
      <name val="Arial"/>
      <family val="2"/>
    </font>
    <font>
      <vertAlign val="subscript"/>
      <sz val="10"/>
      <color theme="1"/>
      <name val="Arial"/>
      <family val="2"/>
    </font>
    <font>
      <b/>
      <sz val="10"/>
      <name val="Calibri"/>
      <family val="2"/>
    </font>
    <font>
      <b/>
      <vertAlign val="subscript"/>
      <sz val="10"/>
      <name val="Calibri"/>
      <family val="2"/>
    </font>
    <font>
      <sz val="11"/>
      <color rgb="FF000000"/>
      <name val="Arial"/>
      <family val="2"/>
    </font>
  </fonts>
  <fills count="1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indexed="13"/>
        <bgColor indexed="64"/>
      </patternFill>
    </fill>
    <fill>
      <patternFill patternType="solid">
        <fgColor theme="0" tint="-4.9989318521683403E-2"/>
        <bgColor indexed="64"/>
      </patternFill>
    </fill>
    <fill>
      <patternFill patternType="solid">
        <fgColor theme="7"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style="medium">
        <color auto="1"/>
      </top>
      <bottom/>
      <diagonal/>
    </border>
    <border>
      <left/>
      <right/>
      <top style="medium">
        <color indexed="64"/>
      </top>
      <bottom style="thin">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 fillId="0" borderId="0"/>
    <xf numFmtId="0" fontId="1" fillId="2" borderId="0">
      <alignment horizontal="center"/>
    </xf>
    <xf numFmtId="0" fontId="1" fillId="5" borderId="1">
      <alignment horizontal="center" vertical="center"/>
      <protection locked="0"/>
    </xf>
  </cellStyleXfs>
  <cellXfs count="36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0" xfId="0" applyFill="1" applyBorder="1"/>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xf numFmtId="0" fontId="1" fillId="0" borderId="0" xfId="0" applyFont="1"/>
    <xf numFmtId="0" fontId="1" fillId="0" borderId="0" xfId="0" applyFont="1" applyAlignment="1">
      <alignment horizontal="right"/>
    </xf>
    <xf numFmtId="0" fontId="0" fillId="3" borderId="0" xfId="0" applyFill="1"/>
    <xf numFmtId="0" fontId="1"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1" fillId="2" borderId="0" xfId="0" applyFont="1" applyFill="1"/>
    <xf numFmtId="165"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0" borderId="1" xfId="0" applyNumberFormat="1" applyBorder="1" applyAlignment="1">
      <alignment horizontal="center" vertical="center"/>
    </xf>
    <xf numFmtId="165" fontId="0" fillId="2" borderId="1" xfId="0" applyNumberFormat="1" applyFill="1" applyBorder="1" applyAlignment="1">
      <alignment horizontal="center" vertical="center"/>
    </xf>
    <xf numFmtId="0" fontId="1" fillId="2" borderId="0" xfId="0" applyFont="1" applyFill="1" applyBorder="1" applyAlignment="1">
      <alignment horizontal="right"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1" fillId="0" borderId="0" xfId="0" applyFont="1" applyBorder="1"/>
    <xf numFmtId="0" fontId="26" fillId="0" borderId="0" xfId="0" applyFont="1"/>
    <xf numFmtId="0" fontId="27"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2" borderId="24" xfId="0" applyFill="1" applyBorder="1"/>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1" fillId="2" borderId="26" xfId="0" applyFont="1" applyFill="1" applyBorder="1" applyAlignment="1">
      <alignment horizontal="right" vertical="center"/>
    </xf>
    <xf numFmtId="0" fontId="2" fillId="2" borderId="25" xfId="0" applyFont="1" applyFill="1" applyBorder="1"/>
    <xf numFmtId="0" fontId="1" fillId="2" borderId="24" xfId="0" applyFont="1" applyFill="1" applyBorder="1" applyAlignment="1">
      <alignment horizontal="right"/>
    </xf>
    <xf numFmtId="0" fontId="0" fillId="0" borderId="25" xfId="0" applyBorder="1"/>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0" fillId="2" borderId="29" xfId="0" applyFill="1" applyBorder="1"/>
    <xf numFmtId="0" fontId="2" fillId="2" borderId="0" xfId="0" applyFont="1" applyFill="1" applyBorder="1" applyAlignment="1">
      <alignment horizontal="right"/>
    </xf>
    <xf numFmtId="0" fontId="2" fillId="2" borderId="0" xfId="0" applyFont="1" applyFill="1" applyBorder="1" applyAlignment="1">
      <alignment horizontal="center"/>
    </xf>
    <xf numFmtId="0" fontId="7" fillId="2" borderId="0" xfId="0" applyFont="1" applyFill="1" applyBorder="1"/>
    <xf numFmtId="0" fontId="0" fillId="2" borderId="30" xfId="0" applyFill="1" applyBorder="1"/>
    <xf numFmtId="0" fontId="1" fillId="2" borderId="29" xfId="0" applyFont="1" applyFill="1" applyBorder="1"/>
    <xf numFmtId="0" fontId="0" fillId="3" borderId="0" xfId="0" applyFill="1" applyBorder="1"/>
    <xf numFmtId="0" fontId="0" fillId="0" borderId="0" xfId="0" applyFill="1" applyBorder="1" applyAlignment="1" applyProtection="1">
      <alignment horizontal="center"/>
    </xf>
    <xf numFmtId="0" fontId="0" fillId="5" borderId="0" xfId="0" applyFill="1" applyBorder="1"/>
    <xf numFmtId="0" fontId="1" fillId="5" borderId="0" xfId="0" applyFont="1" applyFill="1" applyBorder="1" applyAlignment="1">
      <alignment horizontal="right" vertical="center"/>
    </xf>
    <xf numFmtId="0" fontId="0" fillId="6" borderId="0" xfId="0" applyFill="1" applyBorder="1"/>
    <xf numFmtId="0" fontId="1" fillId="6" borderId="0" xfId="0" applyFont="1" applyFill="1" applyBorder="1" applyAlignment="1">
      <alignment horizontal="right" vertical="center"/>
    </xf>
    <xf numFmtId="0" fontId="16" fillId="0" borderId="0" xfId="0" applyFont="1" applyFill="1" applyBorder="1" applyProtection="1"/>
    <xf numFmtId="0" fontId="0" fillId="2" borderId="28" xfId="0" applyFill="1" applyBorder="1"/>
    <xf numFmtId="0" fontId="1" fillId="2" borderId="0" xfId="0" applyFont="1" applyFill="1" applyBorder="1"/>
    <xf numFmtId="0" fontId="0" fillId="7" borderId="0" xfId="0" applyFill="1" applyAlignment="1">
      <alignment horizontal="center"/>
    </xf>
    <xf numFmtId="0" fontId="1" fillId="7" borderId="0" xfId="0" applyFont="1" applyFill="1" applyAlignment="1">
      <alignment horizontal="center"/>
    </xf>
    <xf numFmtId="0" fontId="28" fillId="0" borderId="0" xfId="0" applyFont="1"/>
    <xf numFmtId="0" fontId="2" fillId="0" borderId="0" xfId="0" applyFont="1" applyFill="1" applyAlignment="1" applyProtection="1">
      <alignment horizontal="left"/>
      <protection locked="0"/>
    </xf>
    <xf numFmtId="0" fontId="0" fillId="0" borderId="0" xfId="0" applyFill="1"/>
    <xf numFmtId="0" fontId="2" fillId="0" borderId="15"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22"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8" borderId="0" xfId="0" applyFill="1" applyBorder="1"/>
    <xf numFmtId="0" fontId="1" fillId="8" borderId="0" xfId="0" applyFont="1" applyFill="1" applyBorder="1" applyAlignment="1">
      <alignment horizontal="right" vertic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1" fillId="0" borderId="0" xfId="2" applyNumberFormat="1"/>
    <xf numFmtId="0" fontId="25" fillId="0" borderId="0" xfId="2" applyFont="1"/>
    <xf numFmtId="0" fontId="25" fillId="0" borderId="0" xfId="2" applyFont="1" applyAlignment="1" applyProtection="1">
      <alignment horizontal="center"/>
    </xf>
    <xf numFmtId="0" fontId="25" fillId="0" borderId="0" xfId="2" applyFont="1" applyAlignment="1">
      <alignment horizontal="center"/>
    </xf>
    <xf numFmtId="10" fontId="1" fillId="0" borderId="0" xfId="2" applyNumberFormat="1"/>
    <xf numFmtId="0" fontId="1" fillId="0" borderId="0" xfId="0" applyFont="1" applyAlignment="1">
      <alignment horizontal="center"/>
    </xf>
    <xf numFmtId="0" fontId="0" fillId="0" borderId="0" xfId="0" applyAlignment="1">
      <alignment horizontal="center"/>
    </xf>
    <xf numFmtId="9" fontId="0" fillId="2" borderId="1" xfId="0" applyNumberFormat="1" applyFill="1" applyBorder="1" applyAlignment="1">
      <alignment horizontal="center" vertic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6" fillId="0" borderId="0" xfId="2" applyFont="1"/>
    <xf numFmtId="165" fontId="0" fillId="0" borderId="1" xfId="0" applyNumberFormat="1" applyFill="1" applyBorder="1" applyAlignment="1" applyProtection="1">
      <alignment horizontal="center" vertical="center"/>
    </xf>
    <xf numFmtId="0" fontId="25" fillId="0" borderId="0" xfId="0" applyFont="1" applyAlignment="1">
      <alignment horizontal="center"/>
    </xf>
    <xf numFmtId="0" fontId="2" fillId="0" borderId="0" xfId="0" applyFont="1" applyAlignment="1">
      <alignment horizontal="center"/>
    </xf>
    <xf numFmtId="0" fontId="26" fillId="0" borderId="0" xfId="0" applyFont="1" applyBorder="1" applyAlignment="1">
      <alignment horizontal="center"/>
    </xf>
    <xf numFmtId="0" fontId="1" fillId="3" borderId="0" xfId="0" applyFont="1" applyFill="1" applyBorder="1" applyAlignment="1">
      <alignment horizontal="right" vertical="center"/>
    </xf>
    <xf numFmtId="0" fontId="1" fillId="3" borderId="0" xfId="0" applyFont="1" applyFill="1" applyAlignment="1">
      <alignment horizontal="right"/>
    </xf>
    <xf numFmtId="0" fontId="1" fillId="0" borderId="13" xfId="0" applyFont="1" applyBorder="1" applyAlignment="1">
      <alignment horizontal="center"/>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1"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6" fillId="2" borderId="13" xfId="0" applyFont="1" applyFill="1" applyBorder="1" applyAlignment="1">
      <alignment horizontal="center" vertical="center"/>
    </xf>
    <xf numFmtId="0" fontId="0" fillId="2" borderId="34" xfId="0" applyFill="1" applyBorder="1" applyAlignment="1">
      <alignment horizontal="center" vertical="center"/>
    </xf>
    <xf numFmtId="0" fontId="1"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7" xfId="0" applyFill="1" applyBorder="1" applyAlignment="1">
      <alignment horizontal="center"/>
    </xf>
    <xf numFmtId="0" fontId="0" fillId="3" borderId="0" xfId="0" applyFill="1" applyAlignment="1">
      <alignment horizontal="center"/>
    </xf>
    <xf numFmtId="0" fontId="1" fillId="0" borderId="0" xfId="0" applyFont="1" applyFill="1" applyBorder="1" applyAlignment="1">
      <alignment horizontal="right"/>
    </xf>
    <xf numFmtId="2" fontId="1" fillId="0" borderId="0" xfId="0" applyNumberFormat="1" applyFont="1"/>
    <xf numFmtId="0" fontId="26"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26"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165" fontId="0" fillId="0" borderId="0" xfId="0" applyNumberFormat="1" applyFill="1" applyBorder="1" applyAlignment="1" applyProtection="1">
      <alignment horizontal="center" vertical="center"/>
      <protection locked="0"/>
    </xf>
    <xf numFmtId="0" fontId="0" fillId="2" borderId="6" xfId="0" applyFill="1" applyBorder="1"/>
    <xf numFmtId="165" fontId="1" fillId="0" borderId="0" xfId="2" applyNumberFormat="1" applyAlignment="1">
      <alignment horizontal="center"/>
    </xf>
    <xf numFmtId="165" fontId="1" fillId="0" borderId="0" xfId="2" applyNumberFormat="1"/>
    <xf numFmtId="0" fontId="26" fillId="10" borderId="0" xfId="0" applyFont="1" applyFill="1"/>
    <xf numFmtId="2" fontId="26" fillId="0" borderId="0" xfId="0" applyNumberFormat="1" applyFont="1" applyBorder="1" applyAlignment="1">
      <alignment horizontal="center"/>
    </xf>
    <xf numFmtId="0" fontId="0" fillId="5" borderId="1" xfId="0" applyFill="1" applyBorder="1" applyAlignment="1">
      <alignment horizontal="center"/>
    </xf>
    <xf numFmtId="0" fontId="1" fillId="3" borderId="16" xfId="0" applyFont="1" applyFill="1" applyBorder="1" applyAlignment="1" applyProtection="1">
      <alignment horizontal="center" vertical="center"/>
    </xf>
    <xf numFmtId="0" fontId="28" fillId="0" borderId="0" xfId="0" applyFont="1" applyAlignment="1">
      <alignment horizontal="center"/>
    </xf>
    <xf numFmtId="11" fontId="28" fillId="0" borderId="0" xfId="0" applyNumberFormat="1" applyFont="1" applyAlignment="1">
      <alignment horizontal="center"/>
    </xf>
    <xf numFmtId="0" fontId="0" fillId="11" borderId="0" xfId="0" applyFill="1"/>
    <xf numFmtId="0" fontId="2" fillId="11" borderId="0" xfId="0" applyFont="1" applyFill="1"/>
    <xf numFmtId="0" fontId="0" fillId="3" borderId="25" xfId="0" applyFill="1" applyBorder="1"/>
    <xf numFmtId="0" fontId="28" fillId="0" borderId="0" xfId="0" applyFont="1" applyAlignment="1">
      <alignment horizontal="right"/>
    </xf>
    <xf numFmtId="0" fontId="0" fillId="0" borderId="0" xfId="0" applyFill="1" applyAlignment="1">
      <alignment horizontal="center"/>
    </xf>
    <xf numFmtId="0" fontId="1" fillId="12" borderId="0" xfId="0" applyFont="1" applyFill="1"/>
    <xf numFmtId="0" fontId="0" fillId="12" borderId="0" xfId="0" applyFill="1"/>
    <xf numFmtId="0" fontId="28" fillId="0" borderId="0" xfId="0" applyFont="1" applyFill="1" applyBorder="1" applyAlignment="1" applyProtection="1">
      <alignment horizontal="center" vertical="center"/>
      <protection locked="0"/>
    </xf>
    <xf numFmtId="0" fontId="2" fillId="12" borderId="0" xfId="0" applyFont="1" applyFill="1"/>
    <xf numFmtId="0" fontId="20" fillId="3" borderId="25" xfId="0" applyFont="1" applyFill="1" applyBorder="1"/>
    <xf numFmtId="0" fontId="25" fillId="12" borderId="0" xfId="2" applyFont="1" applyFill="1" applyAlignment="1" applyProtection="1">
      <alignment horizontal="center"/>
    </xf>
    <xf numFmtId="2" fontId="1" fillId="0" borderId="0" xfId="2" applyNumberFormat="1" applyAlignment="1" applyProtection="1">
      <alignment horizontal="center"/>
    </xf>
    <xf numFmtId="2" fontId="0" fillId="0" borderId="0" xfId="0" applyNumberFormat="1" applyBorder="1" applyAlignment="1">
      <alignment horizontal="center"/>
    </xf>
    <xf numFmtId="0" fontId="0" fillId="0" borderId="0" xfId="0" applyBorder="1" applyAlignment="1">
      <alignment horizontal="center"/>
    </xf>
    <xf numFmtId="0" fontId="2" fillId="5" borderId="0" xfId="0" applyFont="1" applyFill="1"/>
    <xf numFmtId="0" fontId="0" fillId="5" borderId="0" xfId="0" applyFill="1"/>
    <xf numFmtId="0" fontId="1" fillId="5" borderId="0" xfId="0" applyFont="1" applyFill="1" applyAlignment="1">
      <alignment horizontal="right"/>
    </xf>
    <xf numFmtId="2" fontId="28" fillId="0" borderId="1" xfId="0" applyNumberFormat="1" applyFont="1" applyFill="1" applyBorder="1" applyAlignment="1">
      <alignment horizontal="center"/>
    </xf>
    <xf numFmtId="0" fontId="1" fillId="5" borderId="0" xfId="0" applyFont="1" applyFill="1"/>
    <xf numFmtId="0" fontId="28" fillId="5" borderId="1" xfId="0" applyFont="1" applyFill="1" applyBorder="1" applyAlignment="1">
      <alignment horizontal="center"/>
    </xf>
    <xf numFmtId="2" fontId="28" fillId="0" borderId="0" xfId="0" applyNumberFormat="1" applyFont="1"/>
    <xf numFmtId="0" fontId="1" fillId="3" borderId="0" xfId="0" applyFont="1" applyFill="1" applyBorder="1" applyAlignment="1">
      <alignment horizontal="right"/>
    </xf>
    <xf numFmtId="0" fontId="1" fillId="3" borderId="25" xfId="0" applyFont="1" applyFill="1" applyBorder="1"/>
    <xf numFmtId="0" fontId="1" fillId="0" borderId="33" xfId="0" applyFont="1" applyBorder="1" applyAlignment="1">
      <alignment horizontal="center" vertical="center"/>
    </xf>
    <xf numFmtId="2" fontId="31" fillId="0" borderId="0" xfId="0" applyNumberFormat="1" applyFont="1" applyAlignment="1">
      <alignment horizontal="center"/>
    </xf>
    <xf numFmtId="0" fontId="31" fillId="0" borderId="0" xfId="0" applyFont="1" applyAlignment="1">
      <alignment horizontal="center"/>
    </xf>
    <xf numFmtId="0" fontId="1" fillId="3" borderId="7" xfId="0" applyFont="1" applyFill="1" applyBorder="1" applyAlignment="1">
      <alignment horizontal="right" vertical="center"/>
    </xf>
    <xf numFmtId="0" fontId="1" fillId="3" borderId="13" xfId="0" applyFont="1" applyFill="1" applyBorder="1" applyAlignment="1">
      <alignment horizontal="right" vertical="center"/>
    </xf>
    <xf numFmtId="0" fontId="0" fillId="3" borderId="7" xfId="0" applyFill="1" applyBorder="1" applyAlignment="1">
      <alignment horizontal="right" vertical="center"/>
    </xf>
    <xf numFmtId="0" fontId="32" fillId="12" borderId="0" xfId="2" applyFont="1" applyFill="1" applyAlignment="1" applyProtection="1">
      <alignment horizontal="center"/>
    </xf>
    <xf numFmtId="2" fontId="28" fillId="0" borderId="25" xfId="2" applyNumberFormat="1" applyFont="1" applyBorder="1" applyAlignment="1" applyProtection="1">
      <alignment horizontal="center"/>
    </xf>
    <xf numFmtId="0" fontId="28" fillId="0" borderId="0" xfId="2" applyFont="1"/>
    <xf numFmtId="0" fontId="32" fillId="12" borderId="0" xfId="2" applyFont="1" applyFill="1"/>
    <xf numFmtId="0" fontId="25" fillId="12" borderId="0" xfId="2" applyFont="1" applyFill="1"/>
    <xf numFmtId="0" fontId="1" fillId="2" borderId="24" xfId="0" applyFont="1" applyFill="1" applyBorder="1" applyAlignment="1">
      <alignment horizontal="right" vertical="center"/>
    </xf>
    <xf numFmtId="0" fontId="1" fillId="2" borderId="32" xfId="0" applyFont="1" applyFill="1" applyBorder="1" applyAlignment="1">
      <alignment horizontal="right" vertical="center"/>
    </xf>
    <xf numFmtId="0" fontId="1" fillId="3" borderId="24" xfId="0" applyFont="1" applyFill="1" applyBorder="1" applyAlignment="1">
      <alignment horizontal="right"/>
    </xf>
    <xf numFmtId="0" fontId="0" fillId="3" borderId="24" xfId="0" applyFill="1" applyBorder="1" applyAlignment="1">
      <alignment horizontal="right" vertical="center"/>
    </xf>
    <xf numFmtId="0" fontId="0" fillId="13" borderId="35" xfId="0" applyFill="1" applyBorder="1" applyProtection="1"/>
    <xf numFmtId="0" fontId="0" fillId="13" borderId="36" xfId="0" applyFill="1" applyBorder="1" applyProtection="1"/>
    <xf numFmtId="0" fontId="0" fillId="13" borderId="37" xfId="0" applyFill="1" applyBorder="1" applyProtection="1"/>
    <xf numFmtId="0" fontId="0" fillId="13" borderId="38" xfId="0" applyFill="1" applyBorder="1" applyProtection="1"/>
    <xf numFmtId="0" fontId="0" fillId="13" borderId="0" xfId="0" applyFill="1" applyBorder="1" applyProtection="1"/>
    <xf numFmtId="0" fontId="0" fillId="13" borderId="39" xfId="0" applyFill="1" applyBorder="1" applyProtection="1"/>
    <xf numFmtId="0" fontId="33" fillId="13" borderId="0" xfId="0" applyFont="1" applyFill="1" applyBorder="1" applyProtection="1"/>
    <xf numFmtId="0" fontId="34" fillId="13" borderId="0" xfId="0" applyFont="1" applyFill="1" applyBorder="1" applyProtection="1"/>
    <xf numFmtId="0" fontId="35" fillId="13" borderId="0" xfId="0" applyFont="1" applyFill="1" applyBorder="1" applyProtection="1"/>
    <xf numFmtId="0" fontId="36" fillId="13" borderId="0" xfId="0" applyFont="1" applyFill="1" applyProtection="1"/>
    <xf numFmtId="0" fontId="0" fillId="13" borderId="0" xfId="0" applyFill="1" applyProtection="1"/>
    <xf numFmtId="0" fontId="37" fillId="13" borderId="0" xfId="0" applyFont="1" applyFill="1" applyAlignment="1" applyProtection="1"/>
    <xf numFmtId="0" fontId="37" fillId="13" borderId="0" xfId="0" applyFont="1" applyFill="1" applyAlignment="1" applyProtection="1">
      <alignment wrapText="1"/>
    </xf>
    <xf numFmtId="0" fontId="38" fillId="13" borderId="0" xfId="0" applyFont="1" applyFill="1" applyAlignment="1" applyProtection="1">
      <alignment vertical="center"/>
    </xf>
    <xf numFmtId="0" fontId="38" fillId="13" borderId="0" xfId="0" applyFont="1" applyFill="1" applyProtection="1"/>
    <xf numFmtId="0" fontId="1" fillId="13" borderId="0" xfId="0" applyFont="1" applyFill="1" applyBorder="1" applyProtection="1"/>
    <xf numFmtId="0" fontId="0" fillId="13" borderId="40" xfId="0" applyFill="1" applyBorder="1" applyProtection="1"/>
    <xf numFmtId="0" fontId="0" fillId="13" borderId="41" xfId="0" applyFill="1" applyBorder="1" applyProtection="1"/>
    <xf numFmtId="0" fontId="0" fillId="13" borderId="42" xfId="0" applyFill="1" applyBorder="1" applyProtection="1"/>
    <xf numFmtId="0" fontId="0" fillId="0" borderId="0" xfId="0" applyAlignment="1">
      <alignment horizontal="center"/>
    </xf>
    <xf numFmtId="0" fontId="16" fillId="4" borderId="0" xfId="0" applyFont="1" applyFill="1" applyProtection="1"/>
    <xf numFmtId="0" fontId="0" fillId="14" borderId="24" xfId="0" applyFill="1" applyBorder="1"/>
    <xf numFmtId="0" fontId="0" fillId="2" borderId="43" xfId="0" applyFill="1" applyBorder="1"/>
    <xf numFmtId="0" fontId="0" fillId="3" borderId="6" xfId="0" applyFill="1" applyBorder="1"/>
    <xf numFmtId="0" fontId="0" fillId="6" borderId="14" xfId="0" applyFill="1" applyBorder="1" applyAlignment="1" applyProtection="1">
      <alignment horizontal="center" vertical="center"/>
      <protection locked="0"/>
    </xf>
    <xf numFmtId="2" fontId="0" fillId="2" borderId="0" xfId="0" applyNumberFormat="1" applyFill="1" applyBorder="1" applyAlignment="1">
      <alignment horizontal="center" vertical="center"/>
    </xf>
    <xf numFmtId="2" fontId="0" fillId="2" borderId="4" xfId="0" applyNumberFormat="1" applyFill="1" applyBorder="1" applyAlignment="1">
      <alignment horizontal="center" vertical="center"/>
    </xf>
    <xf numFmtId="2" fontId="0" fillId="2" borderId="26" xfId="0" applyNumberFormat="1" applyFill="1" applyBorder="1" applyAlignment="1">
      <alignment horizontal="center" vertical="center"/>
    </xf>
    <xf numFmtId="0" fontId="1" fillId="14" borderId="0" xfId="0" applyFont="1" applyFill="1" applyBorder="1" applyAlignment="1">
      <alignment horizontal="right" vertical="center"/>
    </xf>
    <xf numFmtId="0" fontId="39" fillId="2" borderId="0" xfId="0" applyFont="1" applyFill="1" applyBorder="1"/>
    <xf numFmtId="0" fontId="21" fillId="14" borderId="23" xfId="0" applyFont="1" applyFill="1" applyBorder="1"/>
    <xf numFmtId="0" fontId="1" fillId="14" borderId="24" xfId="0" applyFont="1" applyFill="1" applyBorder="1" applyAlignment="1">
      <alignment horizontal="center"/>
    </xf>
    <xf numFmtId="0" fontId="2" fillId="14" borderId="24" xfId="0" applyFont="1" applyFill="1" applyBorder="1" applyAlignment="1">
      <alignment horizontal="center"/>
    </xf>
    <xf numFmtId="0" fontId="2" fillId="14" borderId="28" xfId="0" applyFont="1" applyFill="1" applyBorder="1" applyAlignment="1">
      <alignment horizontal="center"/>
    </xf>
    <xf numFmtId="0" fontId="20" fillId="14" borderId="25" xfId="0" applyFont="1" applyFill="1" applyBorder="1"/>
    <xf numFmtId="0" fontId="0" fillId="14" borderId="0" xfId="0" applyFill="1" applyBorder="1"/>
    <xf numFmtId="0" fontId="40" fillId="14" borderId="0" xfId="0" applyFont="1" applyFill="1" applyBorder="1" applyAlignment="1">
      <alignment horizontal="right" vertical="center"/>
    </xf>
    <xf numFmtId="0" fontId="0" fillId="14" borderId="14" xfId="0" applyFill="1" applyBorder="1" applyAlignment="1">
      <alignment horizontal="center" vertical="center"/>
    </xf>
    <xf numFmtId="0" fontId="1" fillId="14" borderId="0" xfId="0" applyFont="1" applyFill="1" applyBorder="1" applyAlignment="1">
      <alignment horizontal="right"/>
    </xf>
    <xf numFmtId="0" fontId="0" fillId="14" borderId="0" xfId="0" applyFill="1" applyBorder="1" applyAlignment="1">
      <alignment horizontal="center"/>
    </xf>
    <xf numFmtId="0" fontId="1" fillId="14" borderId="29" xfId="0" applyFont="1" applyFill="1" applyBorder="1" applyAlignment="1">
      <alignment horizontal="center"/>
    </xf>
    <xf numFmtId="0" fontId="0" fillId="14" borderId="25" xfId="0" applyFill="1" applyBorder="1"/>
    <xf numFmtId="0" fontId="0" fillId="14" borderId="1" xfId="0" applyFill="1" applyBorder="1" applyAlignment="1">
      <alignment horizontal="center" vertical="center"/>
    </xf>
    <xf numFmtId="0" fontId="6" fillId="14" borderId="0" xfId="0" applyFont="1" applyFill="1" applyBorder="1" applyAlignment="1">
      <alignment horizontal="center" vertical="center"/>
    </xf>
    <xf numFmtId="2" fontId="0" fillId="14" borderId="1" xfId="0" applyNumberFormat="1" applyFill="1" applyBorder="1" applyAlignment="1">
      <alignment horizontal="center" vertical="center"/>
    </xf>
    <xf numFmtId="0" fontId="0" fillId="14" borderId="1" xfId="0" applyNumberFormat="1" applyFill="1" applyBorder="1" applyAlignment="1">
      <alignment horizontal="center" vertical="center"/>
    </xf>
    <xf numFmtId="0" fontId="0" fillId="14" borderId="11" xfId="0" applyNumberFormat="1" applyFill="1" applyBorder="1" applyAlignment="1">
      <alignment horizontal="center" vertical="center"/>
    </xf>
    <xf numFmtId="0" fontId="0" fillId="14" borderId="29" xfId="0" applyFill="1" applyBorder="1"/>
    <xf numFmtId="0" fontId="0" fillId="14" borderId="25" xfId="0" applyFill="1" applyBorder="1" applyAlignment="1">
      <alignment horizontal="right"/>
    </xf>
    <xf numFmtId="0" fontId="1" fillId="14" borderId="0" xfId="0" applyFont="1" applyFill="1" applyBorder="1" applyAlignment="1">
      <alignment horizontal="left"/>
    </xf>
    <xf numFmtId="0" fontId="0" fillId="14" borderId="0" xfId="0" applyFill="1" applyBorder="1" applyAlignment="1">
      <alignment horizontal="right"/>
    </xf>
    <xf numFmtId="0" fontId="1" fillId="6" borderId="11" xfId="0" applyFont="1" applyFill="1" applyBorder="1" applyAlignment="1" applyProtection="1">
      <alignment horizontal="center" vertical="center"/>
      <protection locked="0"/>
    </xf>
    <xf numFmtId="0" fontId="1" fillId="6" borderId="16" xfId="0"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vertical="center"/>
    </xf>
    <xf numFmtId="0" fontId="1" fillId="6"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1" fontId="0" fillId="2" borderId="1" xfId="0" applyNumberFormat="1" applyFill="1" applyBorder="1" applyAlignment="1" applyProtection="1">
      <alignment horizontal="center" vertical="center"/>
    </xf>
    <xf numFmtId="2" fontId="0" fillId="2" borderId="11" xfId="0" applyNumberFormat="1" applyFill="1" applyBorder="1" applyAlignment="1" applyProtection="1">
      <alignment horizontal="center" vertical="center"/>
    </xf>
    <xf numFmtId="2" fontId="0" fillId="2" borderId="12" xfId="0" applyNumberFormat="1" applyFill="1" applyBorder="1" applyAlignment="1" applyProtection="1">
      <alignment horizontal="center" vertical="center"/>
    </xf>
    <xf numFmtId="0" fontId="0" fillId="6" borderId="1" xfId="0" applyNumberFormat="1" applyFill="1" applyBorder="1" applyAlignment="1" applyProtection="1">
      <alignment horizontal="center" vertical="center"/>
    </xf>
    <xf numFmtId="0" fontId="0" fillId="2" borderId="0" xfId="0" applyFill="1" applyAlignment="1" applyProtection="1">
      <alignment horizontal="center"/>
    </xf>
    <xf numFmtId="0" fontId="0" fillId="0" borderId="0" xfId="0" applyProtection="1"/>
    <xf numFmtId="0" fontId="8" fillId="2" borderId="0" xfId="0" applyFont="1" applyFill="1" applyAlignment="1" applyProtection="1">
      <alignment horizontal="left"/>
    </xf>
    <xf numFmtId="0" fontId="1" fillId="2" borderId="0" xfId="0" applyFont="1" applyFill="1" applyAlignment="1" applyProtection="1">
      <alignment horizontal="left" vertical="center"/>
    </xf>
    <xf numFmtId="14" fontId="8"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2" borderId="0" xfId="0" applyFill="1" applyAlignment="1" applyProtection="1">
      <alignment horizontal="left" vertic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28" fillId="4" borderId="1" xfId="0" applyFont="1" applyFill="1" applyBorder="1" applyAlignment="1" applyProtection="1">
      <alignment horizontal="center"/>
    </xf>
    <xf numFmtId="0" fontId="0" fillId="14" borderId="0" xfId="0" applyFill="1"/>
    <xf numFmtId="0" fontId="0" fillId="3" borderId="29" xfId="0" applyFill="1" applyBorder="1"/>
    <xf numFmtId="0" fontId="1" fillId="14" borderId="0" xfId="0" applyFont="1" applyFill="1" applyBorder="1" applyAlignment="1">
      <alignment horizontal="left" vertical="center"/>
    </xf>
    <xf numFmtId="0" fontId="0" fillId="3" borderId="24" xfId="0" applyFill="1" applyBorder="1"/>
    <xf numFmtId="0" fontId="1" fillId="14" borderId="0" xfId="0" applyFont="1" applyFill="1" applyBorder="1" applyAlignment="1">
      <alignment horizontal="center" vertical="center"/>
    </xf>
    <xf numFmtId="2" fontId="1" fillId="14" borderId="1" xfId="0" applyNumberFormat="1" applyFont="1" applyFill="1" applyBorder="1" applyAlignment="1">
      <alignment horizontal="center" vertical="center"/>
    </xf>
    <xf numFmtId="0" fontId="1" fillId="14" borderId="1" xfId="0" applyFont="1" applyFill="1" applyBorder="1" applyAlignment="1">
      <alignment horizontal="center"/>
    </xf>
    <xf numFmtId="165" fontId="0" fillId="14" borderId="0" xfId="0" applyNumberFormat="1" applyFill="1" applyBorder="1" applyAlignment="1">
      <alignment horizontal="center"/>
    </xf>
    <xf numFmtId="0" fontId="0" fillId="14" borderId="44" xfId="0" applyFill="1" applyBorder="1" applyAlignment="1">
      <alignment horizontal="center" vertical="center"/>
    </xf>
    <xf numFmtId="0" fontId="1" fillId="14" borderId="1" xfId="0" applyFont="1" applyFill="1" applyBorder="1" applyAlignment="1">
      <alignment horizontal="right"/>
    </xf>
    <xf numFmtId="165" fontId="1" fillId="14" borderId="1" xfId="0" applyNumberFormat="1" applyFont="1" applyFill="1" applyBorder="1" applyAlignment="1">
      <alignment horizontal="center"/>
    </xf>
    <xf numFmtId="1" fontId="1" fillId="14" borderId="1" xfId="0" applyNumberFormat="1" applyFont="1" applyFill="1" applyBorder="1" applyAlignment="1">
      <alignment horizontal="center"/>
    </xf>
    <xf numFmtId="2" fontId="1" fillId="14" borderId="1" xfId="0" applyNumberFormat="1" applyFont="1" applyFill="1" applyBorder="1" applyAlignment="1">
      <alignment horizontal="center"/>
    </xf>
    <xf numFmtId="164" fontId="1" fillId="14" borderId="1" xfId="0" applyNumberFormat="1" applyFont="1" applyFill="1" applyBorder="1" applyAlignment="1">
      <alignment horizontal="center"/>
    </xf>
    <xf numFmtId="164" fontId="1" fillId="14" borderId="1" xfId="0" applyNumberFormat="1" applyFont="1" applyFill="1" applyBorder="1" applyAlignment="1">
      <alignment horizontal="right"/>
    </xf>
    <xf numFmtId="164" fontId="0" fillId="14" borderId="1" xfId="0" applyNumberFormat="1" applyFill="1" applyBorder="1" applyAlignment="1">
      <alignment horizontal="center"/>
    </xf>
    <xf numFmtId="0" fontId="1" fillId="14" borderId="18" xfId="0" applyFont="1" applyFill="1" applyBorder="1"/>
    <xf numFmtId="0" fontId="1" fillId="14" borderId="19" xfId="0" applyFont="1" applyFill="1" applyBorder="1" applyAlignment="1">
      <alignment horizontal="left"/>
    </xf>
    <xf numFmtId="0" fontId="1" fillId="14" borderId="20" xfId="0" applyFont="1" applyFill="1" applyBorder="1"/>
    <xf numFmtId="0" fontId="1" fillId="3" borderId="21" xfId="0" applyFont="1" applyFill="1" applyBorder="1" applyAlignment="1">
      <alignment horizontal="right" vertical="center"/>
    </xf>
    <xf numFmtId="0" fontId="0" fillId="14" borderId="21" xfId="0" applyFill="1" applyBorder="1" applyAlignment="1">
      <alignment horizontal="center"/>
    </xf>
    <xf numFmtId="0" fontId="1" fillId="14" borderId="22" xfId="0" applyFont="1" applyFill="1" applyBorder="1" applyAlignment="1">
      <alignment horizontal="left"/>
    </xf>
    <xf numFmtId="0" fontId="0" fillId="15" borderId="23" xfId="0" applyFill="1" applyBorder="1"/>
    <xf numFmtId="0" fontId="0" fillId="15" borderId="24" xfId="0" applyFill="1" applyBorder="1"/>
    <xf numFmtId="0" fontId="2" fillId="15" borderId="24" xfId="0" applyFont="1" applyFill="1" applyBorder="1" applyAlignment="1">
      <alignment horizontal="center"/>
    </xf>
    <xf numFmtId="0" fontId="1" fillId="15" borderId="28" xfId="0" applyFont="1" applyFill="1" applyBorder="1"/>
    <xf numFmtId="0" fontId="40" fillId="14" borderId="24" xfId="0" applyFont="1" applyFill="1" applyBorder="1" applyAlignment="1">
      <alignment horizontal="right" vertical="center"/>
    </xf>
    <xf numFmtId="0" fontId="6" fillId="14" borderId="24" xfId="0" applyFont="1" applyFill="1" applyBorder="1" applyAlignment="1">
      <alignment horizontal="center" vertical="center"/>
    </xf>
    <xf numFmtId="0" fontId="2" fillId="14" borderId="24" xfId="0" applyFont="1" applyFill="1" applyBorder="1" applyAlignment="1">
      <alignment horizontal="left"/>
    </xf>
    <xf numFmtId="0" fontId="0" fillId="14" borderId="27" xfId="0" applyFill="1" applyBorder="1"/>
    <xf numFmtId="0" fontId="0" fillId="14" borderId="26" xfId="0" applyFill="1" applyBorder="1"/>
    <xf numFmtId="0" fontId="0" fillId="14" borderId="26" xfId="0" applyFill="1" applyBorder="1" applyAlignment="1">
      <alignment horizontal="center"/>
    </xf>
    <xf numFmtId="0" fontId="0" fillId="14" borderId="30" xfId="0" applyFill="1" applyBorder="1"/>
    <xf numFmtId="0" fontId="7" fillId="2" borderId="7" xfId="2" applyFont="1" applyFill="1" applyBorder="1" applyAlignment="1">
      <alignment horizontal="left" wrapText="1"/>
    </xf>
    <xf numFmtId="0" fontId="7" fillId="2" borderId="0" xfId="2" applyFont="1" applyFill="1" applyBorder="1" applyAlignment="1">
      <alignment horizontal="left" wrapText="1"/>
    </xf>
    <xf numFmtId="0" fontId="7" fillId="2" borderId="0" xfId="2" applyFont="1" applyFill="1" applyBorder="1" applyAlignment="1">
      <alignment horizontal="right" wrapText="1"/>
    </xf>
    <xf numFmtId="0" fontId="0" fillId="5" borderId="1" xfId="0" applyFill="1" applyBorder="1" applyAlignment="1" applyProtection="1">
      <alignment horizontal="center" vertical="center"/>
      <protection locked="0"/>
    </xf>
    <xf numFmtId="0" fontId="1" fillId="3" borderId="21" xfId="0" applyFont="1" applyFill="1" applyBorder="1" applyAlignment="1">
      <alignment horizontal="center" vertical="center"/>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1" fillId="2" borderId="6"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0" fontId="7" fillId="2" borderId="0" xfId="2" applyFont="1" applyFill="1" applyBorder="1" applyAlignment="1">
      <alignment horizontal="left" wrapText="1"/>
    </xf>
    <xf numFmtId="0" fontId="7" fillId="2" borderId="7" xfId="2" applyFont="1" applyFill="1" applyBorder="1" applyAlignment="1">
      <alignment horizontal="left" wrapText="1"/>
    </xf>
    <xf numFmtId="0" fontId="25" fillId="0" borderId="0" xfId="0" applyFont="1" applyAlignment="1">
      <alignment horizontal="center"/>
    </xf>
    <xf numFmtId="0" fontId="26" fillId="0" borderId="0" xfId="0" applyFont="1" applyAlignment="1">
      <alignment horizontal="center"/>
    </xf>
    <xf numFmtId="0" fontId="2" fillId="0" borderId="0" xfId="0" applyFont="1" applyAlignment="1">
      <alignment horizontal="center"/>
    </xf>
    <xf numFmtId="0" fontId="25" fillId="0" borderId="1" xfId="2"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26" fillId="0" borderId="0" xfId="0" applyFont="1" applyBorder="1" applyAlignment="1">
      <alignment horizontal="center"/>
    </xf>
    <xf numFmtId="2" fontId="1" fillId="0" borderId="0" xfId="0" applyNumberFormat="1" applyFont="1" applyBorder="1" applyAlignment="1">
      <alignment horizontal="center"/>
    </xf>
    <xf numFmtId="2" fontId="0" fillId="0" borderId="0" xfId="0" applyNumberFormat="1" applyBorder="1" applyAlignment="1">
      <alignment horizontal="center"/>
    </xf>
    <xf numFmtId="0" fontId="0" fillId="0" borderId="0" xfId="0" applyBorder="1" applyAlignment="1">
      <alignment horizontal="center"/>
    </xf>
  </cellXfs>
  <cellStyles count="5">
    <cellStyle name="Hyperlink" xfId="1" builtinId="8"/>
    <cellStyle name="Normal" xfId="0" builtinId="0"/>
    <cellStyle name="Normal 2" xfId="2"/>
    <cellStyle name="Style 1" xfId="3"/>
    <cellStyle name="Style 2" xfId="4"/>
  </cellStyles>
  <dxfs count="34">
    <dxf>
      <fill>
        <patternFill>
          <bgColor rgb="FFFF0000"/>
        </patternFill>
      </fill>
    </dxf>
    <dxf>
      <font>
        <color theme="0"/>
      </font>
    </dxf>
    <dxf>
      <font>
        <condense val="0"/>
        <extend val="0"/>
        <color indexed="9"/>
      </font>
      <fill>
        <patternFill>
          <bgColor indexed="9"/>
        </patternFill>
      </fill>
      <border>
        <left/>
        <right/>
        <top style="thin">
          <color auto="1"/>
        </top>
        <bottom style="thin">
          <color auto="1"/>
        </bottom>
      </border>
    </dxf>
    <dxf>
      <font>
        <color theme="0"/>
      </font>
    </dxf>
    <dxf>
      <font>
        <condense val="0"/>
        <extend val="0"/>
        <color indexed="9"/>
      </font>
      <fill>
        <patternFill>
          <bgColor indexed="9"/>
        </patternFill>
      </fill>
      <border>
        <left/>
        <right/>
        <top style="thin">
          <color auto="1"/>
        </top>
        <bottom style="thin">
          <color auto="1"/>
        </bottom>
      </border>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fill>
        <patternFill>
          <bgColor theme="0"/>
        </patternFill>
      </fill>
      <border>
        <left/>
        <right/>
        <top style="thin">
          <color auto="1"/>
        </top>
        <bottom/>
        <vertical/>
        <horizontal/>
      </border>
    </dxf>
    <dxf>
      <font>
        <color theme="0"/>
      </font>
    </dxf>
    <dxf>
      <font>
        <color theme="0"/>
      </font>
    </dxf>
    <dxf>
      <font>
        <color auto="1"/>
      </font>
      <fill>
        <patternFill>
          <bgColor rgb="FFFFC000"/>
        </patternFill>
      </fill>
    </dxf>
    <dxf>
      <fill>
        <patternFill>
          <bgColor indexed="10"/>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style="thin">
          <color auto="1"/>
        </right>
        <top/>
        <bottom/>
      </border>
    </dxf>
    <dxf>
      <font>
        <condense val="0"/>
        <extend val="0"/>
        <color indexed="9"/>
      </font>
      <fill>
        <patternFill>
          <bgColor indexed="9"/>
        </patternFill>
      </fill>
      <border>
        <left/>
        <right/>
        <top style="thin">
          <color auto="1"/>
        </top>
        <bottom style="thin">
          <color auto="1"/>
        </bottom>
      </border>
    </dxf>
    <dxf>
      <fill>
        <patternFill>
          <bgColor indexed="10"/>
        </patternFill>
      </fill>
    </dxf>
  </dxfs>
  <tableStyles count="0" defaultTableStyle="TableStyleMedium9" defaultPivotStyle="PivotStyleLight16"/>
  <colors>
    <mruColors>
      <color rgb="FF0000FF"/>
      <color rgb="FF0053F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899"/>
          <c:h val="0.76916929287639579"/>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'FET Data'!$E$40:$E$44</c:f>
              <c:numCache>
                <c:formatCode>General</c:formatCode>
                <c:ptCount val="5"/>
                <c:pt idx="0">
                  <c:v>1</c:v>
                </c:pt>
                <c:pt idx="1">
                  <c:v>1.2</c:v>
                </c:pt>
                <c:pt idx="2">
                  <c:v>30</c:v>
                </c:pt>
                <c:pt idx="3">
                  <c:v>60.5</c:v>
                </c:pt>
              </c:numCache>
            </c:numRef>
          </c:xVal>
          <c:yVal>
            <c:numRef>
              <c:f>'FET Data'!$F$40:$F$44</c:f>
              <c:numCache>
                <c:formatCode>General</c:formatCode>
                <c:ptCount val="5"/>
                <c:pt idx="0">
                  <c:v>203.46685975799764</c:v>
                </c:pt>
                <c:pt idx="1">
                  <c:v>169.55571646499803</c:v>
                </c:pt>
                <c:pt idx="2">
                  <c:v>6.7822286585999212</c:v>
                </c:pt>
                <c:pt idx="3">
                  <c:v>3.3630885910412833</c:v>
                </c:pt>
              </c:numCache>
            </c:numRef>
          </c:yVal>
          <c:smooth val="0"/>
        </c:ser>
        <c:ser>
          <c:idx val="1"/>
          <c:order val="1"/>
          <c:tx>
            <c:v>Typ Device SOA Limit</c:v>
          </c:tx>
          <c:spPr>
            <a:ln w="25400">
              <a:solidFill>
                <a:srgbClr val="FF0000"/>
              </a:solidFill>
              <a:prstDash val="solid"/>
            </a:ln>
          </c:spPr>
          <c:marker>
            <c:symbol val="none"/>
          </c:marker>
          <c:xVal>
            <c:numRef>
              <c:f>Equations!$R$193:$R$257</c:f>
              <c:numCache>
                <c:formatCode>General</c:formatCode>
                <c:ptCount val="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numCache>
            </c:numRef>
          </c:xVal>
          <c:yVal>
            <c:numRef>
              <c:f>Equations!$T$193:$T$257</c:f>
              <c:numCache>
                <c:formatCode>0.00</c:formatCode>
                <c:ptCount val="65"/>
                <c:pt idx="0">
                  <c:v>25</c:v>
                </c:pt>
                <c:pt idx="1">
                  <c:v>25</c:v>
                </c:pt>
                <c:pt idx="2">
                  <c:v>25</c:v>
                </c:pt>
                <c:pt idx="3">
                  <c:v>25</c:v>
                </c:pt>
                <c:pt idx="4">
                  <c:v>25</c:v>
                </c:pt>
                <c:pt idx="5">
                  <c:v>21.279929577464788</c:v>
                </c:pt>
                <c:pt idx="6">
                  <c:v>18.311368209255534</c:v>
                </c:pt>
                <c:pt idx="7">
                  <c:v>16.084947183098592</c:v>
                </c:pt>
                <c:pt idx="8">
                  <c:v>14.353286384976526</c:v>
                </c:pt>
                <c:pt idx="9">
                  <c:v>12.967957746478874</c:v>
                </c:pt>
                <c:pt idx="10">
                  <c:v>11.834507042253522</c:v>
                </c:pt>
                <c:pt idx="11">
                  <c:v>10.889964788732394</c:v>
                </c:pt>
                <c:pt idx="12">
                  <c:v>10.090736728060673</c:v>
                </c:pt>
                <c:pt idx="13">
                  <c:v>9.4056841046277668</c:v>
                </c:pt>
                <c:pt idx="14">
                  <c:v>8.8119718309859163</c:v>
                </c:pt>
                <c:pt idx="15">
                  <c:v>8.292473591549296</c:v>
                </c:pt>
                <c:pt idx="16">
                  <c:v>7.8340927920463965</c:v>
                </c:pt>
                <c:pt idx="17">
                  <c:v>7.426643192488263</c:v>
                </c:pt>
                <c:pt idx="18">
                  <c:v>7.0620830244625648</c:v>
                </c:pt>
                <c:pt idx="19">
                  <c:v>6.7339788732394368</c:v>
                </c:pt>
                <c:pt idx="20">
                  <c:v>6.4371227364185115</c:v>
                </c:pt>
                <c:pt idx="21">
                  <c:v>6.167253521126761</c:v>
                </c:pt>
                <c:pt idx="22">
                  <c:v>5.9208511941212496</c:v>
                </c:pt>
                <c:pt idx="23">
                  <c:v>5.694982394366197</c:v>
                </c:pt>
                <c:pt idx="24">
                  <c:v>5.4871830985915491</c:v>
                </c:pt>
                <c:pt idx="25">
                  <c:v>5.2953683640303364</c:v>
                </c:pt>
                <c:pt idx="26">
                  <c:v>5.1177621283255084</c:v>
                </c:pt>
                <c:pt idx="27">
                  <c:v>4.9528420523138834</c:v>
                </c:pt>
                <c:pt idx="28">
                  <c:v>4.799295774647887</c:v>
                </c:pt>
                <c:pt idx="29">
                  <c:v>4.6559859154929581</c:v>
                </c:pt>
                <c:pt idx="30">
                  <c:v>4.521921853702862</c:v>
                </c:pt>
                <c:pt idx="31">
                  <c:v>4.396236795774648</c:v>
                </c:pt>
                <c:pt idx="32">
                  <c:v>4.278169014084507</c:v>
                </c:pt>
                <c:pt idx="33">
                  <c:v>4.1670463960231983</c:v>
                </c:pt>
                <c:pt idx="34">
                  <c:v>4.0622736418511067</c:v>
                </c:pt>
                <c:pt idx="35">
                  <c:v>3.9633215962441315</c:v>
                </c:pt>
                <c:pt idx="36">
                  <c:v>3.869718309859155</c:v>
                </c:pt>
                <c:pt idx="37">
                  <c:v>3.7810415122312824</c:v>
                </c:pt>
                <c:pt idx="38">
                  <c:v>3.6969122426868908</c:v>
                </c:pt>
                <c:pt idx="39">
                  <c:v>3.6169894366197184</c:v>
                </c:pt>
                <c:pt idx="40">
                  <c:v>3.5409653040192373</c:v>
                </c:pt>
                <c:pt idx="41">
                  <c:v>3.4685613682092558</c:v>
                </c:pt>
                <c:pt idx="42">
                  <c:v>3.3995250573206683</c:v>
                </c:pt>
                <c:pt idx="43">
                  <c:v>3.3336267605633805</c:v>
                </c:pt>
                <c:pt idx="44">
                  <c:v>3.2706572769953053</c:v>
                </c:pt>
                <c:pt idx="45">
                  <c:v>3.2104255970606248</c:v>
                </c:pt>
                <c:pt idx="46">
                  <c:v>3.1527569673359306</c:v>
                </c:pt>
                <c:pt idx="47">
                  <c:v>3.0974911971830985</c:v>
                </c:pt>
                <c:pt idx="48">
                  <c:v>3.0444811727507903</c:v>
                </c:pt>
                <c:pt idx="49">
                  <c:v>2.9935915492957745</c:v>
                </c:pt>
                <c:pt idx="50">
                  <c:v>2.9446975973487985</c:v>
                </c:pt>
                <c:pt idx="51">
                  <c:v>2.8976841820151682</c:v>
                </c:pt>
                <c:pt idx="52">
                  <c:v>2.8524448578262027</c:v>
                </c:pt>
                <c:pt idx="53">
                  <c:v>2.8088810641627542</c:v>
                </c:pt>
                <c:pt idx="54">
                  <c:v>2.7669014084507042</c:v>
                </c:pt>
                <c:pt idx="55">
                  <c:v>2.7264210261569417</c:v>
                </c:pt>
                <c:pt idx="56">
                  <c:v>2.6873610081541885</c:v>
                </c:pt>
                <c:pt idx="57">
                  <c:v>2.6496478873239435</c:v>
                </c:pt>
                <c:pt idx="58">
                  <c:v>2.6132131773693006</c:v>
                </c:pt>
                <c:pt idx="59">
                  <c:v>2.5779929577464791</c:v>
                </c:pt>
                <c:pt idx="60">
                  <c:v>5.0000000000000003E-10</c:v>
                </c:pt>
                <c:pt idx="61">
                  <c:v>5.0000000000000003E-10</c:v>
                </c:pt>
                <c:pt idx="62">
                  <c:v>5.0000000000000003E-10</c:v>
                </c:pt>
                <c:pt idx="63">
                  <c:v>5.0000000000000003E-10</c:v>
                </c:pt>
                <c:pt idx="64">
                  <c:v>5.0000000000000003E-10</c:v>
                </c:pt>
              </c:numCache>
            </c:numRef>
          </c:yVal>
          <c:smooth val="0"/>
        </c:ser>
        <c:dLbls>
          <c:showLegendKey val="0"/>
          <c:showVal val="0"/>
          <c:showCatName val="0"/>
          <c:showSerName val="0"/>
          <c:showPercent val="0"/>
          <c:showBubbleSize val="0"/>
        </c:dLbls>
        <c:axId val="157430848"/>
        <c:axId val="157424576"/>
      </c:scatterChart>
      <c:valAx>
        <c:axId val="157430848"/>
        <c:scaling>
          <c:logBase val="10"/>
          <c:orientation val="minMax"/>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12"/>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57424576"/>
        <c:crossesAt val="0.1"/>
        <c:crossBetween val="midCat"/>
      </c:valAx>
      <c:valAx>
        <c:axId val="157424576"/>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9E-2"/>
              <c:y val="0.21497860712616404"/>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57430848"/>
        <c:crosses val="autoZero"/>
        <c:crossBetween val="midCat"/>
      </c:valAx>
      <c:spPr>
        <a:solidFill>
          <a:srgbClr val="FFFFFF"/>
        </a:solidFill>
        <a:ln w="12700">
          <a:solidFill>
            <a:srgbClr val="808080"/>
          </a:solidFill>
          <a:prstDash val="solid"/>
        </a:ln>
      </c:spPr>
    </c:plotArea>
    <c:legend>
      <c:legendPos val="r"/>
      <c:layout>
        <c:manualLayout>
          <c:xMode val="edge"/>
          <c:yMode val="edge"/>
          <c:x val="0.4399876625057168"/>
          <c:y val="6.2136664660875592E-2"/>
          <c:w val="0.51713412648236479"/>
          <c:h val="0.226445734366053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24070199309217444"/>
          <c:y val="0.30135242185635891"/>
        </c:manualLayout>
      </c:layout>
      <c:overlay val="0"/>
      <c:spPr>
        <a:solidFill>
          <a:schemeClr val="bg1"/>
        </a:solidFill>
      </c:spPr>
    </c:title>
    <c:autoTitleDeleted val="0"/>
    <c:plotArea>
      <c:layout>
        <c:manualLayout>
          <c:layoutTarget val="inner"/>
          <c:xMode val="edge"/>
          <c:yMode val="edge"/>
          <c:x val="0.13897705213713232"/>
          <c:y val="8.0967958803185427E-2"/>
          <c:w val="0.76768118867008672"/>
          <c:h val="0.71875545525738094"/>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7.8743552376109097E-2</c:v>
                </c:pt>
                <c:pt idx="4" formatCode="0.0">
                  <c:v>0.15672260424371323</c:v>
                </c:pt>
                <c:pt idx="5" formatCode="0.0">
                  <c:v>0.2339371556028105</c:v>
                </c:pt>
                <c:pt idx="6" formatCode="0.0">
                  <c:v>0.31038720645340184</c:v>
                </c:pt>
                <c:pt idx="7" formatCode="0.0">
                  <c:v>0.38607275679548825</c:v>
                </c:pt>
                <c:pt idx="8" formatCode="0.0">
                  <c:v>0.46099380662906775</c:v>
                </c:pt>
                <c:pt idx="9" formatCode="0.0">
                  <c:v>0.53515035595414229</c:v>
                </c:pt>
                <c:pt idx="10" formatCode="0.0">
                  <c:v>0.60854240477070998</c:v>
                </c:pt>
                <c:pt idx="11" formatCode="0.0">
                  <c:v>0.68116995307877271</c:v>
                </c:pt>
                <c:pt idx="12" formatCode="0.0">
                  <c:v>0.75303300087832858</c:v>
                </c:pt>
                <c:pt idx="13" formatCode="0.0">
                  <c:v>0.82413154816937861</c:v>
                </c:pt>
                <c:pt idx="14" formatCode="0.0">
                  <c:v>0.89446559495192346</c:v>
                </c:pt>
                <c:pt idx="15" formatCode="0.0">
                  <c:v>0.96403514122596157</c:v>
                </c:pt>
                <c:pt idx="16" formatCode="0.0">
                  <c:v>1.0328401869914938</c:v>
                </c:pt>
                <c:pt idx="17" formatCode="0.0">
                  <c:v>1.1008807322485201</c:v>
                </c:pt>
                <c:pt idx="18" formatCode="0.0">
                  <c:v>1.1681567769970413</c:v>
                </c:pt>
                <c:pt idx="19" formatCode="0.0">
                  <c:v>1.2346683212370557</c:v>
                </c:pt>
                <c:pt idx="20" formatCode="0.0">
                  <c:v>1.3004153649685652</c:v>
                </c:pt>
                <c:pt idx="21" formatCode="0.0">
                  <c:v>1.3653979081915679</c:v>
                </c:pt>
                <c:pt idx="22" formatCode="0.0">
                  <c:v>1.4296159509060655</c:v>
                </c:pt>
                <c:pt idx="23" formatCode="0.0">
                  <c:v>1.4930694931120563</c:v>
                </c:pt>
                <c:pt idx="24" formatCode="0.0">
                  <c:v>1.555758534809542</c:v>
                </c:pt>
                <c:pt idx="25" formatCode="0.0">
                  <c:v>1.6176830759985208</c:v>
                </c:pt>
                <c:pt idx="26" formatCode="0.0">
                  <c:v>1.6788431166789946</c:v>
                </c:pt>
                <c:pt idx="27" formatCode="0.0">
                  <c:v>1.7392386568509619</c:v>
                </c:pt>
                <c:pt idx="28" formatCode="0.0">
                  <c:v>1.7988696965144231</c:v>
                </c:pt>
                <c:pt idx="29" formatCode="0.0">
                  <c:v>1.8577362356693783</c:v>
                </c:pt>
                <c:pt idx="30" formatCode="0.0">
                  <c:v>1.9158382743158278</c:v>
                </c:pt>
                <c:pt idx="31" formatCode="0.0">
                  <c:v>1.9731758124537719</c:v>
                </c:pt>
                <c:pt idx="32" formatCode="0.0">
                  <c:v>2.0297488500832097</c:v>
                </c:pt>
                <c:pt idx="33" formatCode="0.0">
                  <c:v>2.0855573872041422</c:v>
                </c:pt>
                <c:pt idx="34" formatCode="0.0">
                  <c:v>2.1406014238165678</c:v>
                </c:pt>
                <c:pt idx="35" formatCode="0.0">
                  <c:v>2.1948809599204884</c:v>
                </c:pt>
                <c:pt idx="36" formatCode="0.0">
                  <c:v>2.2483959955159021</c:v>
                </c:pt>
                <c:pt idx="37" formatCode="0.0">
                  <c:v>2.3011465306028107</c:v>
                </c:pt>
                <c:pt idx="38" formatCode="0.0">
                  <c:v>2.3531325651812129</c:v>
                </c:pt>
                <c:pt idx="39" formatCode="0.0">
                  <c:v>2.4043540992511101</c:v>
                </c:pt>
                <c:pt idx="40" formatCode="0.0">
                  <c:v>2.4548111328125004</c:v>
                </c:pt>
                <c:pt idx="41" formatCode="0.0">
                  <c:v>2.5045036658653848</c:v>
                </c:pt>
                <c:pt idx="42" formatCode="0.0">
                  <c:v>2.5534316984097631</c:v>
                </c:pt>
                <c:pt idx="43" formatCode="0.0">
                  <c:v>2.601595230445636</c:v>
                </c:pt>
                <c:pt idx="44" formatCode="0.0">
                  <c:v>2.6489942619730034</c:v>
                </c:pt>
                <c:pt idx="45" formatCode="0.0">
                  <c:v>2.6956287929918639</c:v>
                </c:pt>
                <c:pt idx="46" formatCode="0.0">
                  <c:v>2.7414988235022193</c:v>
                </c:pt>
                <c:pt idx="47" formatCode="0.0">
                  <c:v>2.7866043535040683</c:v>
                </c:pt>
                <c:pt idx="48" formatCode="0.0">
                  <c:v>2.8309453829974118</c:v>
                </c:pt>
                <c:pt idx="49" formatCode="0.0">
                  <c:v>2.8745219119822485</c:v>
                </c:pt>
                <c:pt idx="50" formatCode="0.0">
                  <c:v>2.9173339404585801</c:v>
                </c:pt>
                <c:pt idx="51" formatCode="0.0">
                  <c:v>2.9593814684264053</c:v>
                </c:pt>
                <c:pt idx="52" formatCode="0.0">
                  <c:v>3.0006644958857254</c:v>
                </c:pt>
                <c:pt idx="53" formatCode="0.0">
                  <c:v>3.0411830228365391</c:v>
                </c:pt>
                <c:pt idx="54" formatCode="0.0">
                  <c:v>3.0809370492788464</c:v>
                </c:pt>
                <c:pt idx="55" formatCode="0.0">
                  <c:v>3.1199265752126477</c:v>
                </c:pt>
                <c:pt idx="56" formatCode="0.0">
                  <c:v>3.158151600637944</c:v>
                </c:pt>
                <c:pt idx="57" formatCode="0.0">
                  <c:v>3.1956121255547338</c:v>
                </c:pt>
                <c:pt idx="58" formatCode="0.0">
                  <c:v>3.2323081499630177</c:v>
                </c:pt>
                <c:pt idx="59" formatCode="0.0">
                  <c:v>3.2682396738627961</c:v>
                </c:pt>
                <c:pt idx="60" formatCode="0.0">
                  <c:v>3.3034066972540685</c:v>
                </c:pt>
                <c:pt idx="61" formatCode="0.0">
                  <c:v>3.3378092201368341</c:v>
                </c:pt>
                <c:pt idx="62" formatCode="0.0">
                  <c:v>3.3714472425110946</c:v>
                </c:pt>
                <c:pt idx="63" formatCode="0.0">
                  <c:v>3.4043207643768492</c:v>
                </c:pt>
                <c:pt idx="64" formatCode="0.0">
                  <c:v>3.4364297857340982</c:v>
                </c:pt>
                <c:pt idx="65" formatCode="0.0">
                  <c:v>3.4677743065828404</c:v>
                </c:pt>
                <c:pt idx="66" formatCode="0.0">
                  <c:v>3.4983543269230775</c:v>
                </c:pt>
                <c:pt idx="67" formatCode="0.0">
                  <c:v>3.5281698467548082</c:v>
                </c:pt>
                <c:pt idx="68" formatCode="0.0">
                  <c:v>3.5572208660780329</c:v>
                </c:pt>
                <c:pt idx="69" formatCode="0.0">
                  <c:v>3.5855073848927521</c:v>
                </c:pt>
                <c:pt idx="70" formatCode="0.0">
                  <c:v>3.6130294031989649</c:v>
                </c:pt>
                <c:pt idx="71" formatCode="0.0">
                  <c:v>3.6397869209966722</c:v>
                </c:pt>
                <c:pt idx="72" formatCode="0.0">
                  <c:v>3.6657799382858736</c:v>
                </c:pt>
                <c:pt idx="73" formatCode="0.0">
                  <c:v>3.6910084550665685</c:v>
                </c:pt>
                <c:pt idx="74" formatCode="0.0">
                  <c:v>3.7154724713387579</c:v>
                </c:pt>
                <c:pt idx="75" formatCode="0.0">
                  <c:v>3.7391719871024414</c:v>
                </c:pt>
                <c:pt idx="76" formatCode="0.0">
                  <c:v>3.7621070023576193</c:v>
                </c:pt>
                <c:pt idx="77" formatCode="0.0">
                  <c:v>3.7842775171042908</c:v>
                </c:pt>
                <c:pt idx="78" formatCode="0.0">
                  <c:v>3.8056835313424564</c:v>
                </c:pt>
                <c:pt idx="79" formatCode="0.0">
                  <c:v>3.8263250450721165</c:v>
                </c:pt>
                <c:pt idx="80" formatCode="0.0">
                  <c:v>3.8462020582932706</c:v>
                </c:pt>
                <c:pt idx="81" formatCode="0.0">
                  <c:v>3.8653145710059182</c:v>
                </c:pt>
                <c:pt idx="82" formatCode="0.0">
                  <c:v>3.8836625832100604</c:v>
                </c:pt>
                <c:pt idx="83" formatCode="0.0">
                  <c:v>3.9012460949056966</c:v>
                </c:pt>
                <c:pt idx="84" formatCode="0.0">
                  <c:v>3.9180651060928264</c:v>
                </c:pt>
                <c:pt idx="85" formatCode="0.0">
                  <c:v>3.9341196167714507</c:v>
                </c:pt>
                <c:pt idx="86" formatCode="0.0">
                  <c:v>3.9494096269415691</c:v>
                </c:pt>
                <c:pt idx="87" formatCode="0.0">
                  <c:v>3.963935136603181</c:v>
                </c:pt>
                <c:pt idx="88" formatCode="0.0">
                  <c:v>3.9776961457562874</c:v>
                </c:pt>
                <c:pt idx="89" formatCode="0.0">
                  <c:v>3.9906926544008883</c:v>
                </c:pt>
                <c:pt idx="90" formatCode="0.0">
                  <c:v>4.0029246625369828</c:v>
                </c:pt>
                <c:pt idx="91" formatCode="0.0">
                  <c:v>4.0143921701645713</c:v>
                </c:pt>
                <c:pt idx="92" formatCode="0.0">
                  <c:v>4.0250951772836538</c:v>
                </c:pt>
                <c:pt idx="93" formatCode="0.0">
                  <c:v>4.0350336838942304</c:v>
                </c:pt>
                <c:pt idx="94" formatCode="0.0">
                  <c:v>4.044207689996302</c:v>
                </c:pt>
                <c:pt idx="95" formatCode="0.0">
                  <c:v>4.0526171955898667</c:v>
                </c:pt>
                <c:pt idx="96" formatCode="0.0">
                  <c:v>4.0607614263590976</c:v>
                </c:pt>
                <c:pt idx="97" formatCode="0.0">
                  <c:v>4.0689056571283286</c:v>
                </c:pt>
                <c:pt idx="98" formatCode="0.0">
                  <c:v>4.0770498878975596</c:v>
                </c:pt>
                <c:pt idx="99" formatCode="0.0">
                  <c:v>4.0851941186667906</c:v>
                </c:pt>
                <c:pt idx="100" formatCode="0.0">
                  <c:v>4.0933383494360207</c:v>
                </c:pt>
                <c:pt idx="101" formatCode="0.0">
                  <c:v>4.1014825802052517</c:v>
                </c:pt>
                <c:pt idx="102" formatCode="0.0">
                  <c:v>4.1096268109744827</c:v>
                </c:pt>
                <c:pt idx="103" formatCode="0.0">
                  <c:v>4.1177710417437137</c:v>
                </c:pt>
                <c:pt idx="104" formatCode="0.0">
                  <c:v>4.1259152725129447</c:v>
                </c:pt>
                <c:pt idx="105" formatCode="0.0">
                  <c:v>4.1366313656303531</c:v>
                </c:pt>
                <c:pt idx="106" formatCode="0.0">
                  <c:v>4.1473474587477623</c:v>
                </c:pt>
                <c:pt idx="107" formatCode="0.0">
                  <c:v>4.6473474587477623</c:v>
                </c:pt>
              </c:numCache>
            </c:numRef>
          </c:xVal>
          <c:yVal>
            <c:numRef>
              <c:f>Start_up!$O$8:$O$115</c:f>
              <c:numCache>
                <c:formatCode>General</c:formatCode>
                <c:ptCount val="108"/>
                <c:pt idx="0">
                  <c:v>0</c:v>
                </c:pt>
                <c:pt idx="1">
                  <c:v>0</c:v>
                </c:pt>
                <c:pt idx="2">
                  <c:v>154.92957746478874</c:v>
                </c:pt>
                <c:pt idx="3">
                  <c:v>154.92957746478874</c:v>
                </c:pt>
                <c:pt idx="4">
                  <c:v>154.92957746478874</c:v>
                </c:pt>
                <c:pt idx="5">
                  <c:v>154.92957746478874</c:v>
                </c:pt>
                <c:pt idx="6">
                  <c:v>154.92957746478874</c:v>
                </c:pt>
                <c:pt idx="7">
                  <c:v>154.92957746478874</c:v>
                </c:pt>
                <c:pt idx="8">
                  <c:v>154.92957746478874</c:v>
                </c:pt>
                <c:pt idx="9">
                  <c:v>154.92957746478874</c:v>
                </c:pt>
                <c:pt idx="10">
                  <c:v>154.92957746478874</c:v>
                </c:pt>
                <c:pt idx="11">
                  <c:v>154.92957746478874</c:v>
                </c:pt>
                <c:pt idx="12">
                  <c:v>154.92957746478874</c:v>
                </c:pt>
                <c:pt idx="13">
                  <c:v>154.92957746478874</c:v>
                </c:pt>
                <c:pt idx="14">
                  <c:v>154.92957746478874</c:v>
                </c:pt>
                <c:pt idx="15">
                  <c:v>154.92957746478874</c:v>
                </c:pt>
                <c:pt idx="16">
                  <c:v>154.92957746478874</c:v>
                </c:pt>
                <c:pt idx="17">
                  <c:v>154.92957746478874</c:v>
                </c:pt>
                <c:pt idx="18">
                  <c:v>154.92957746478874</c:v>
                </c:pt>
                <c:pt idx="19">
                  <c:v>154.92957746478874</c:v>
                </c:pt>
                <c:pt idx="20">
                  <c:v>154.92957746478874</c:v>
                </c:pt>
                <c:pt idx="21">
                  <c:v>154.92957746478874</c:v>
                </c:pt>
                <c:pt idx="22">
                  <c:v>154.92957746478874</c:v>
                </c:pt>
                <c:pt idx="23">
                  <c:v>154.92957746478874</c:v>
                </c:pt>
                <c:pt idx="24">
                  <c:v>154.92957746478874</c:v>
                </c:pt>
                <c:pt idx="25">
                  <c:v>154.92957746478874</c:v>
                </c:pt>
                <c:pt idx="26">
                  <c:v>154.92957746478874</c:v>
                </c:pt>
                <c:pt idx="27">
                  <c:v>154.92957746478874</c:v>
                </c:pt>
                <c:pt idx="28">
                  <c:v>154.92957746478874</c:v>
                </c:pt>
                <c:pt idx="29">
                  <c:v>154.92957746478874</c:v>
                </c:pt>
                <c:pt idx="30">
                  <c:v>154.92957746478874</c:v>
                </c:pt>
                <c:pt idx="31">
                  <c:v>154.92957746478874</c:v>
                </c:pt>
                <c:pt idx="32">
                  <c:v>154.92957746478874</c:v>
                </c:pt>
                <c:pt idx="33">
                  <c:v>154.92957746478874</c:v>
                </c:pt>
                <c:pt idx="34">
                  <c:v>154.92957746478874</c:v>
                </c:pt>
                <c:pt idx="35">
                  <c:v>154.92957746478874</c:v>
                </c:pt>
                <c:pt idx="36">
                  <c:v>154.92957746478874</c:v>
                </c:pt>
                <c:pt idx="37">
                  <c:v>154.92957746478874</c:v>
                </c:pt>
                <c:pt idx="38">
                  <c:v>154.92957746478874</c:v>
                </c:pt>
                <c:pt idx="39">
                  <c:v>154.92957746478874</c:v>
                </c:pt>
                <c:pt idx="40">
                  <c:v>154.92957746478874</c:v>
                </c:pt>
                <c:pt idx="41">
                  <c:v>154.92957746478874</c:v>
                </c:pt>
                <c:pt idx="42">
                  <c:v>154.92957746478871</c:v>
                </c:pt>
                <c:pt idx="43">
                  <c:v>154.92957746478876</c:v>
                </c:pt>
                <c:pt idx="44">
                  <c:v>154.92957746478874</c:v>
                </c:pt>
                <c:pt idx="45">
                  <c:v>154.92957746478874</c:v>
                </c:pt>
                <c:pt idx="46">
                  <c:v>154.92957746478874</c:v>
                </c:pt>
                <c:pt idx="47">
                  <c:v>154.92957746478874</c:v>
                </c:pt>
                <c:pt idx="48">
                  <c:v>154.92957746478874</c:v>
                </c:pt>
                <c:pt idx="49">
                  <c:v>154.92957746478874</c:v>
                </c:pt>
                <c:pt idx="50">
                  <c:v>154.92957746478874</c:v>
                </c:pt>
                <c:pt idx="51">
                  <c:v>154.92957746478874</c:v>
                </c:pt>
                <c:pt idx="52">
                  <c:v>154.92957746478874</c:v>
                </c:pt>
                <c:pt idx="53">
                  <c:v>154.92957746478874</c:v>
                </c:pt>
                <c:pt idx="54">
                  <c:v>154.92957746478874</c:v>
                </c:pt>
                <c:pt idx="55">
                  <c:v>154.92957746478874</c:v>
                </c:pt>
                <c:pt idx="56">
                  <c:v>154.92957746478874</c:v>
                </c:pt>
                <c:pt idx="57">
                  <c:v>154.92957746478874</c:v>
                </c:pt>
                <c:pt idx="58">
                  <c:v>154.92957746478874</c:v>
                </c:pt>
                <c:pt idx="59">
                  <c:v>154.92957746478874</c:v>
                </c:pt>
                <c:pt idx="60">
                  <c:v>154.92957746478874</c:v>
                </c:pt>
                <c:pt idx="61">
                  <c:v>154.92957746478874</c:v>
                </c:pt>
                <c:pt idx="62">
                  <c:v>154.92957746478874</c:v>
                </c:pt>
                <c:pt idx="63">
                  <c:v>154.92957746478874</c:v>
                </c:pt>
                <c:pt idx="64">
                  <c:v>154.92957746478874</c:v>
                </c:pt>
                <c:pt idx="65">
                  <c:v>154.92957746478874</c:v>
                </c:pt>
                <c:pt idx="66">
                  <c:v>154.92957746478874</c:v>
                </c:pt>
                <c:pt idx="67">
                  <c:v>154.92957746478874</c:v>
                </c:pt>
                <c:pt idx="68">
                  <c:v>154.92957746478874</c:v>
                </c:pt>
                <c:pt idx="69">
                  <c:v>154.92957746478874</c:v>
                </c:pt>
                <c:pt idx="70">
                  <c:v>154.92957746478874</c:v>
                </c:pt>
                <c:pt idx="71">
                  <c:v>154.92957746478874</c:v>
                </c:pt>
                <c:pt idx="72">
                  <c:v>154.92957746478874</c:v>
                </c:pt>
                <c:pt idx="73">
                  <c:v>154.92957746478874</c:v>
                </c:pt>
                <c:pt idx="74">
                  <c:v>154.92957746478871</c:v>
                </c:pt>
                <c:pt idx="75">
                  <c:v>154.92957746478874</c:v>
                </c:pt>
                <c:pt idx="76">
                  <c:v>154.92957746478874</c:v>
                </c:pt>
                <c:pt idx="77">
                  <c:v>154.92957746478874</c:v>
                </c:pt>
                <c:pt idx="78">
                  <c:v>154.92957746478874</c:v>
                </c:pt>
                <c:pt idx="79">
                  <c:v>154.92957746478874</c:v>
                </c:pt>
                <c:pt idx="80">
                  <c:v>154.92957746478874</c:v>
                </c:pt>
                <c:pt idx="81">
                  <c:v>154.92957746478874</c:v>
                </c:pt>
                <c:pt idx="82">
                  <c:v>154.92957746478874</c:v>
                </c:pt>
                <c:pt idx="83">
                  <c:v>154.92957746478874</c:v>
                </c:pt>
                <c:pt idx="84">
                  <c:v>154.92957746478874</c:v>
                </c:pt>
                <c:pt idx="85">
                  <c:v>154.92957746478874</c:v>
                </c:pt>
                <c:pt idx="86">
                  <c:v>154.92957746478874</c:v>
                </c:pt>
                <c:pt idx="87">
                  <c:v>154.92957746478874</c:v>
                </c:pt>
                <c:pt idx="88">
                  <c:v>154.92957746478874</c:v>
                </c:pt>
                <c:pt idx="89">
                  <c:v>154.92957746478874</c:v>
                </c:pt>
                <c:pt idx="90">
                  <c:v>154.92957746478871</c:v>
                </c:pt>
                <c:pt idx="91">
                  <c:v>154.92957746478874</c:v>
                </c:pt>
                <c:pt idx="92">
                  <c:v>154.92957746478874</c:v>
                </c:pt>
                <c:pt idx="93">
                  <c:v>154.92957746478874</c:v>
                </c:pt>
                <c:pt idx="94">
                  <c:v>154.92957746478874</c:v>
                </c:pt>
                <c:pt idx="95">
                  <c:v>154.92957746478874</c:v>
                </c:pt>
                <c:pt idx="96">
                  <c:v>145.43269230769229</c:v>
                </c:pt>
                <c:pt idx="97">
                  <c:v>130.88942307692309</c:v>
                </c:pt>
                <c:pt idx="98">
                  <c:v>116.34615384615377</c:v>
                </c:pt>
                <c:pt idx="99">
                  <c:v>101.80288461538458</c:v>
                </c:pt>
                <c:pt idx="100">
                  <c:v>87.259615384615401</c:v>
                </c:pt>
                <c:pt idx="101">
                  <c:v>72.716346153846231</c:v>
                </c:pt>
                <c:pt idx="102">
                  <c:v>58.173076923076884</c:v>
                </c:pt>
                <c:pt idx="103">
                  <c:v>43.629807692307701</c:v>
                </c:pt>
                <c:pt idx="104">
                  <c:v>29.086538461538524</c:v>
                </c:pt>
                <c:pt idx="105">
                  <c:v>14.543269230769178</c:v>
                </c:pt>
                <c:pt idx="106">
                  <c:v>0</c:v>
                </c:pt>
                <c:pt idx="107">
                  <c:v>0</c:v>
                </c:pt>
              </c:numCache>
            </c:numRef>
          </c:yVal>
          <c:smooth val="0"/>
        </c:ser>
        <c:dLbls>
          <c:showLegendKey val="0"/>
          <c:showVal val="0"/>
          <c:showCatName val="0"/>
          <c:showSerName val="0"/>
          <c:showPercent val="0"/>
          <c:showBubbleSize val="0"/>
        </c:dLbls>
        <c:axId val="157428104"/>
        <c:axId val="157431632"/>
      </c:scatterChart>
      <c:valAx>
        <c:axId val="157428104"/>
        <c:scaling>
          <c:orientation val="minMax"/>
          <c:min val="-1"/>
        </c:scaling>
        <c:delete val="0"/>
        <c:axPos val="b"/>
        <c:minorGridlines/>
        <c:title>
          <c:tx>
            <c:rich>
              <a:bodyPr/>
              <a:lstStyle/>
              <a:p>
                <a:pPr>
                  <a:defRPr/>
                </a:pPr>
                <a:r>
                  <a:rPr lang="en-US"/>
                  <a:t>Time (ms)</a:t>
                </a:r>
              </a:p>
            </c:rich>
          </c:tx>
          <c:layout>
            <c:manualLayout>
              <c:xMode val="edge"/>
              <c:yMode val="edge"/>
              <c:x val="0.44799096768442936"/>
              <c:y val="0.90583847854517374"/>
            </c:manualLayout>
          </c:layout>
          <c:overlay val="0"/>
        </c:title>
        <c:numFmt formatCode="0.0" sourceLinked="1"/>
        <c:majorTickMark val="out"/>
        <c:minorTickMark val="none"/>
        <c:tickLblPos val="nextTo"/>
        <c:txPr>
          <a:bodyPr/>
          <a:lstStyle/>
          <a:p>
            <a:pPr>
              <a:defRPr b="1"/>
            </a:pPr>
            <a:endParaRPr lang="en-US"/>
          </a:p>
        </c:txPr>
        <c:crossAx val="157431632"/>
        <c:crosses val="autoZero"/>
        <c:crossBetween val="midCat"/>
        <c:majorUnit val="5"/>
      </c:valAx>
      <c:valAx>
        <c:axId val="157431632"/>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39E-2"/>
              <c:y val="0.25775146359374557"/>
            </c:manualLayout>
          </c:layout>
          <c:overlay val="0"/>
        </c:title>
        <c:numFmt formatCode="General" sourceLinked="1"/>
        <c:majorTickMark val="out"/>
        <c:minorTickMark val="none"/>
        <c:tickLblPos val="nextTo"/>
        <c:txPr>
          <a:bodyPr/>
          <a:lstStyle/>
          <a:p>
            <a:pPr>
              <a:defRPr b="1"/>
            </a:pPr>
            <a:endParaRPr lang="en-US"/>
          </a:p>
        </c:txPr>
        <c:crossAx val="157428104"/>
        <c:crossesAt val="-1"/>
        <c:crossBetween val="midCat"/>
      </c:valAx>
    </c:plotArea>
    <c:legend>
      <c:legendPos val="r"/>
      <c:layout>
        <c:manualLayout>
          <c:xMode val="edge"/>
          <c:yMode val="edge"/>
          <c:x val="0.60145895307836772"/>
          <c:y val="5.0154986532550037E-2"/>
          <c:w val="0.3951521303739472"/>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a:t>
            </a:r>
            <a:r>
              <a:rPr lang="en-US" sz="1600" i="0" baseline="0"/>
              <a:t>Vout-VEE                                               </a:t>
            </a:r>
            <a:endParaRPr lang="en-US" sz="1600" i="0" baseline="-25000"/>
          </a:p>
        </c:rich>
      </c:tx>
      <c:layout>
        <c:manualLayout>
          <c:xMode val="edge"/>
          <c:yMode val="edge"/>
          <c:x val="0.1649406328635164"/>
          <c:y val="3.0591748387251087E-2"/>
        </c:manualLayout>
      </c:layout>
      <c:overlay val="1"/>
      <c:spPr>
        <a:solidFill>
          <a:schemeClr val="bg1"/>
        </a:solidFill>
      </c:spPr>
    </c:title>
    <c:autoTitleDeleted val="0"/>
    <c:plotArea>
      <c:layout>
        <c:manualLayout>
          <c:layoutTarget val="inner"/>
          <c:xMode val="edge"/>
          <c:yMode val="edge"/>
          <c:x val="0.15203109554174488"/>
          <c:y val="0.13835811263066838"/>
          <c:w val="0.768657511036137"/>
          <c:h val="0.7016589020911268"/>
        </c:manualLayout>
      </c:layout>
      <c:scatterChart>
        <c:scatterStyle val="smoothMarker"/>
        <c:varyColors val="0"/>
        <c:ser>
          <c:idx val="0"/>
          <c:order val="0"/>
          <c:tx>
            <c:strRef>
              <c:f>Start_up!$C$7</c:f>
              <c:strCache>
                <c:ptCount val="1"/>
                <c:pt idx="0">
                  <c:v>ILOAD</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Start_up!$C$10:$C$114</c:f>
              <c:numCache>
                <c:formatCode>0.000</c:formatCode>
                <c:ptCount val="1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6</c:v>
                </c:pt>
                <c:pt idx="104">
                  <c:v>6</c:v>
                </c:pt>
              </c:numCache>
            </c:numRef>
          </c:yVal>
          <c:smooth val="1"/>
        </c:ser>
        <c:ser>
          <c:idx val="1"/>
          <c:order val="1"/>
          <c:tx>
            <c:strRef>
              <c:f>Start_up!$G$7</c:f>
              <c:strCache>
                <c:ptCount val="1"/>
                <c:pt idx="0">
                  <c:v>IFET</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Start_up!$G$10:$G$114</c:f>
              <c:numCache>
                <c:formatCode>General</c:formatCode>
                <c:ptCount val="105"/>
                <c:pt idx="0">
                  <c:v>2.5608194622279128</c:v>
                </c:pt>
                <c:pt idx="1">
                  <c:v>2.5856817871039119</c:v>
                </c:pt>
                <c:pt idx="2">
                  <c:v>2.6110316085461074</c:v>
                </c:pt>
                <c:pt idx="3">
                  <c:v>2.636883406650524</c:v>
                </c:pt>
                <c:pt idx="4">
                  <c:v>2.6632522407170294</c:v>
                </c:pt>
                <c:pt idx="5">
                  <c:v>2.69015377850205</c:v>
                </c:pt>
                <c:pt idx="6">
                  <c:v>2.7176043272622747</c:v>
                </c:pt>
                <c:pt idx="7">
                  <c:v>2.7456208667185873</c:v>
                </c:pt>
                <c:pt idx="8">
                  <c:v>2.774221084080239</c:v>
                </c:pt>
                <c:pt idx="9">
                  <c:v>2.8034234112810839</c:v>
                </c:pt>
                <c:pt idx="10">
                  <c:v>2.8332470645925847</c:v>
                </c:pt>
                <c:pt idx="11">
                  <c:v>2.8637120867925048</c:v>
                </c:pt>
                <c:pt idx="12">
                  <c:v>2.8948393920837279</c:v>
                </c:pt>
                <c:pt idx="13">
                  <c:v>2.9266508139747578</c:v>
                </c:pt>
                <c:pt idx="14">
                  <c:v>2.9591691563522549</c:v>
                </c:pt>
                <c:pt idx="15">
                  <c:v>2.9924182479966621</c:v>
                </c:pt>
                <c:pt idx="16">
                  <c:v>3.0264230008148063</c:v>
                </c:pt>
                <c:pt idx="17">
                  <c:v>3.0612094720885392</c:v>
                </c:pt>
                <c:pt idx="18">
                  <c:v>3.0968049310663135</c:v>
                </c:pt>
                <c:pt idx="19">
                  <c:v>3.1332379302553286</c:v>
                </c:pt>
                <c:pt idx="20">
                  <c:v>3.1705383818059878</c:v>
                </c:pt>
                <c:pt idx="21">
                  <c:v>3.208737639418108</c:v>
                </c:pt>
                <c:pt idx="22">
                  <c:v>3.2478685862402803</c:v>
                </c:pt>
                <c:pt idx="23">
                  <c:v>3.2879657292802835</c:v>
                </c:pt>
                <c:pt idx="24">
                  <c:v>3.3290653008962874</c:v>
                </c:pt>
                <c:pt idx="25">
                  <c:v>3.3712053679962399</c:v>
                </c:pt>
                <c:pt idx="26">
                  <c:v>3.4144259496372174</c:v>
                </c:pt>
                <c:pt idx="27">
                  <c:v>3.4587691437883499</c:v>
                </c:pt>
                <c:pt idx="28">
                  <c:v>3.504279264101354</c:v>
                </c:pt>
                <c:pt idx="29">
                  <c:v>3.5510029876227058</c:v>
                </c:pt>
                <c:pt idx="30">
                  <c:v>3.5989895144824722</c:v>
                </c:pt>
                <c:pt idx="31">
                  <c:v>3.6482907407082594</c:v>
                </c:pt>
                <c:pt idx="32">
                  <c:v>3.6989614454403186</c:v>
                </c:pt>
                <c:pt idx="33">
                  <c:v>3.7510594939676474</c:v>
                </c:pt>
                <c:pt idx="34">
                  <c:v>3.8046460581671848</c:v>
                </c:pt>
                <c:pt idx="35">
                  <c:v>3.8597858561116372</c:v>
                </c:pt>
                <c:pt idx="36">
                  <c:v>3.9165474128191611</c:v>
                </c:pt>
                <c:pt idx="37">
                  <c:v>3.9750033443537758</c:v>
                </c:pt>
                <c:pt idx="38">
                  <c:v>4.0352306677530754</c:v>
                </c:pt>
                <c:pt idx="39">
                  <c:v>4.0973111395646606</c:v>
                </c:pt>
                <c:pt idx="40">
                  <c:v>4.1613316261203579</c:v>
                </c:pt>
                <c:pt idx="41">
                  <c:v>4.2273845090746498</c:v>
                </c:pt>
                <c:pt idx="42">
                  <c:v>4.2955681301887569</c:v>
                </c:pt>
                <c:pt idx="43">
                  <c:v>4.3659872798639823</c:v>
                </c:pt>
                <c:pt idx="44">
                  <c:v>4.4387537345283823</c:v>
                </c:pt>
                <c:pt idx="45">
                  <c:v>4.5139868486729311</c:v>
                </c:pt>
                <c:pt idx="46">
                  <c:v>4.5918142081328099</c:v>
                </c:pt>
                <c:pt idx="47">
                  <c:v>4.672372352135139</c:v>
                </c:pt>
                <c:pt idx="48">
                  <c:v>4.7558075727089815</c:v>
                </c:pt>
                <c:pt idx="49">
                  <c:v>4.8422768013036901</c:v>
                </c:pt>
                <c:pt idx="50">
                  <c:v>4.9319485939204259</c:v>
                </c:pt>
                <c:pt idx="51">
                  <c:v>5.0250042277679805</c:v>
                </c:pt>
                <c:pt idx="52">
                  <c:v>5.1216389244558256</c:v>
                </c:pt>
                <c:pt idx="53">
                  <c:v>5.2220632170922139</c:v>
                </c:pt>
                <c:pt idx="54">
                  <c:v>5.3265044814340596</c:v>
                </c:pt>
                <c:pt idx="55">
                  <c:v>5.4352086545245495</c:v>
                </c:pt>
                <c:pt idx="56">
                  <c:v>5.5484421681604781</c:v>
                </c:pt>
                <c:pt idx="57">
                  <c:v>5.6664941291851703</c:v>
                </c:pt>
                <c:pt idx="58">
                  <c:v>5.7896787841674557</c:v>
                </c:pt>
                <c:pt idx="59">
                  <c:v>5.9183383127045097</c:v>
                </c:pt>
                <c:pt idx="60">
                  <c:v>6.0528460016296117</c:v>
                </c:pt>
                <c:pt idx="61">
                  <c:v>6.193609862132627</c:v>
                </c:pt>
                <c:pt idx="62">
                  <c:v>6.3410767636119756</c:v>
                </c:pt>
                <c:pt idx="63">
                  <c:v>6.4957371724805597</c:v>
                </c:pt>
                <c:pt idx="64">
                  <c:v>6.6581306017925748</c:v>
                </c:pt>
                <c:pt idx="65">
                  <c:v>6.8288518992744347</c:v>
                </c:pt>
                <c:pt idx="66">
                  <c:v>7.0085585282027081</c:v>
                </c:pt>
                <c:pt idx="67">
                  <c:v>7.1979790289649452</c:v>
                </c:pt>
                <c:pt idx="68">
                  <c:v>7.3979228908806371</c:v>
                </c:pt>
                <c:pt idx="69">
                  <c:v>7.6092921163343696</c:v>
                </c:pt>
                <c:pt idx="70">
                  <c:v>7.8330948256383239</c:v>
                </c:pt>
                <c:pt idx="71">
                  <c:v>8.0704613355061507</c:v>
                </c:pt>
                <c:pt idx="72">
                  <c:v>8.3226632522407158</c:v>
                </c:pt>
                <c:pt idx="73">
                  <c:v>8.5911362603775121</c:v>
                </c:pt>
                <c:pt idx="74">
                  <c:v>8.8775074690567646</c:v>
                </c:pt>
                <c:pt idx="75">
                  <c:v>9.1836284162656199</c:v>
                </c:pt>
                <c:pt idx="76">
                  <c:v>9.5116151454179612</c:v>
                </c:pt>
                <c:pt idx="77">
                  <c:v>9.8638971878408519</c:v>
                </c:pt>
                <c:pt idx="78">
                  <c:v>10.243277848911651</c:v>
                </c:pt>
                <c:pt idx="79">
                  <c:v>10.653008962868116</c:v>
                </c:pt>
                <c:pt idx="80">
                  <c:v>11.09688433632096</c:v>
                </c:pt>
                <c:pt idx="81">
                  <c:v>11.579357568334911</c:v>
                </c:pt>
                <c:pt idx="82">
                  <c:v>12.105692003259223</c:v>
                </c:pt>
                <c:pt idx="83">
                  <c:v>12.682153527223953</c:v>
                </c:pt>
                <c:pt idx="84">
                  <c:v>13.31626120358515</c:v>
                </c:pt>
                <c:pt idx="85">
                  <c:v>14.017117056405416</c:v>
                </c:pt>
                <c:pt idx="86">
                  <c:v>14.795845781761273</c:v>
                </c:pt>
                <c:pt idx="87">
                  <c:v>15.666189651276648</c:v>
                </c:pt>
                <c:pt idx="88">
                  <c:v>16.645326504481432</c:v>
                </c:pt>
                <c:pt idx="89">
                  <c:v>17.755014938113522</c:v>
                </c:pt>
                <c:pt idx="90">
                  <c:v>19.023230290835933</c:v>
                </c:pt>
                <c:pt idx="91">
                  <c:v>20.486555697823302</c:v>
                </c:pt>
                <c:pt idx="92">
                  <c:v>22.193768672641905</c:v>
                </c:pt>
                <c:pt idx="93">
                  <c:v>24.211384006518461</c:v>
                </c:pt>
                <c:pt idx="94">
                  <c:v>25</c:v>
                </c:pt>
                <c:pt idx="95">
                  <c:v>25</c:v>
                </c:pt>
                <c:pt idx="96">
                  <c:v>25</c:v>
                </c:pt>
                <c:pt idx="97">
                  <c:v>25</c:v>
                </c:pt>
                <c:pt idx="98">
                  <c:v>25</c:v>
                </c:pt>
                <c:pt idx="99">
                  <c:v>25</c:v>
                </c:pt>
                <c:pt idx="100">
                  <c:v>25</c:v>
                </c:pt>
                <c:pt idx="101">
                  <c:v>25</c:v>
                </c:pt>
                <c:pt idx="102">
                  <c:v>25</c:v>
                </c:pt>
                <c:pt idx="103">
                  <c:v>25</c:v>
                </c:pt>
                <c:pt idx="104">
                  <c:v>25</c:v>
                </c:pt>
              </c:numCache>
            </c:numRef>
          </c:yVal>
          <c:smooth val="1"/>
        </c:ser>
        <c:dLbls>
          <c:showLegendKey val="0"/>
          <c:showVal val="0"/>
          <c:showCatName val="0"/>
          <c:showSerName val="0"/>
          <c:showPercent val="0"/>
          <c:showBubbleSize val="0"/>
        </c:dLbls>
        <c:axId val="157424968"/>
        <c:axId val="157425752"/>
      </c:scatterChart>
      <c:valAx>
        <c:axId val="157424968"/>
        <c:scaling>
          <c:orientation val="maxMin"/>
          <c:max val="80"/>
        </c:scaling>
        <c:delete val="0"/>
        <c:axPos val="b"/>
        <c:majorGridlines/>
        <c:minorGridlines/>
        <c:title>
          <c:tx>
            <c:rich>
              <a:bodyPr/>
              <a:lstStyle/>
              <a:p>
                <a:pPr>
                  <a:defRPr/>
                </a:pPr>
                <a:r>
                  <a:rPr lang="en-US"/>
                  <a:t>V</a:t>
                </a:r>
                <a:r>
                  <a:rPr lang="en-US" altLang="zh-CN"/>
                  <a:t>out</a:t>
                </a:r>
                <a:r>
                  <a:rPr lang="en-US"/>
                  <a:t>-VEE</a:t>
                </a:r>
                <a:r>
                  <a:rPr lang="en-US" baseline="0"/>
                  <a:t> (V)</a:t>
                </a:r>
                <a:endParaRPr lang="en-US"/>
              </a:p>
            </c:rich>
          </c:tx>
          <c:layout>
            <c:manualLayout>
              <c:xMode val="edge"/>
              <c:yMode val="edge"/>
              <c:x val="0.40914479681091764"/>
              <c:y val="0.92545001031614371"/>
            </c:manualLayout>
          </c:layout>
          <c:overlay val="0"/>
        </c:title>
        <c:numFmt formatCode="0.00" sourceLinked="1"/>
        <c:majorTickMark val="out"/>
        <c:minorTickMark val="none"/>
        <c:tickLblPos val="nextTo"/>
        <c:txPr>
          <a:bodyPr/>
          <a:lstStyle/>
          <a:p>
            <a:pPr>
              <a:defRPr b="1"/>
            </a:pPr>
            <a:endParaRPr lang="en-US"/>
          </a:p>
        </c:txPr>
        <c:crossAx val="157425752"/>
        <c:crosses val="autoZero"/>
        <c:crossBetween val="midCat"/>
      </c:valAx>
      <c:valAx>
        <c:axId val="157425752"/>
        <c:scaling>
          <c:orientation val="minMax"/>
          <c:min val="0"/>
        </c:scaling>
        <c:delete val="0"/>
        <c:axPos val="r"/>
        <c:majorGridlines/>
        <c:minorGridlines/>
        <c:title>
          <c:tx>
            <c:rich>
              <a:bodyPr rot="-5400000" vert="horz"/>
              <a:lstStyle/>
              <a:p>
                <a:pPr>
                  <a:defRPr/>
                </a:pPr>
                <a:r>
                  <a:rPr lang="en-US"/>
                  <a:t>Current (A)</a:t>
                </a:r>
              </a:p>
            </c:rich>
          </c:tx>
          <c:layout>
            <c:manualLayout>
              <c:xMode val="edge"/>
              <c:yMode val="edge"/>
              <c:x val="2.5894125229633979E-2"/>
              <c:y val="0.40230013499530881"/>
            </c:manualLayout>
          </c:layout>
          <c:overlay val="0"/>
        </c:title>
        <c:numFmt formatCode="0.0" sourceLinked="0"/>
        <c:majorTickMark val="out"/>
        <c:minorTickMark val="none"/>
        <c:tickLblPos val="high"/>
        <c:txPr>
          <a:bodyPr/>
          <a:lstStyle/>
          <a:p>
            <a:pPr>
              <a:defRPr b="1"/>
            </a:pPr>
            <a:endParaRPr lang="en-US"/>
          </a:p>
        </c:txPr>
        <c:crossAx val="157424968"/>
        <c:crosses val="autoZero"/>
        <c:crossBetween val="midCat"/>
      </c:valAx>
    </c:plotArea>
    <c:legend>
      <c:legendPos val="r"/>
      <c:layout>
        <c:manualLayout>
          <c:xMode val="edge"/>
          <c:yMode val="edge"/>
          <c:x val="0.32116368497266395"/>
          <c:y val="0.20904158745842472"/>
          <c:w val="0.17404923408440312"/>
          <c:h val="0.1886238278925535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6"/>
          <c:y val="0.1417796039772744"/>
          <c:w val="0.69967132057676107"/>
          <c:h val="0.71191183688825022"/>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Start_up!$G$10:$G$112</c:f>
              <c:numCache>
                <c:formatCode>General</c:formatCode>
                <c:ptCount val="103"/>
                <c:pt idx="0">
                  <c:v>2.5608194622279128</c:v>
                </c:pt>
                <c:pt idx="1">
                  <c:v>2.5856817871039119</c:v>
                </c:pt>
                <c:pt idx="2">
                  <c:v>2.6110316085461074</c:v>
                </c:pt>
                <c:pt idx="3">
                  <c:v>2.636883406650524</c:v>
                </c:pt>
                <c:pt idx="4">
                  <c:v>2.6632522407170294</c:v>
                </c:pt>
                <c:pt idx="5">
                  <c:v>2.69015377850205</c:v>
                </c:pt>
                <c:pt idx="6">
                  <c:v>2.7176043272622747</c:v>
                </c:pt>
                <c:pt idx="7">
                  <c:v>2.7456208667185873</c:v>
                </c:pt>
                <c:pt idx="8">
                  <c:v>2.774221084080239</c:v>
                </c:pt>
                <c:pt idx="9">
                  <c:v>2.8034234112810839</c:v>
                </c:pt>
                <c:pt idx="10">
                  <c:v>2.8332470645925847</c:v>
                </c:pt>
                <c:pt idx="11">
                  <c:v>2.8637120867925048</c:v>
                </c:pt>
                <c:pt idx="12">
                  <c:v>2.8948393920837279</c:v>
                </c:pt>
                <c:pt idx="13">
                  <c:v>2.9266508139747578</c:v>
                </c:pt>
                <c:pt idx="14">
                  <c:v>2.9591691563522549</c:v>
                </c:pt>
                <c:pt idx="15">
                  <c:v>2.9924182479966621</c:v>
                </c:pt>
                <c:pt idx="16">
                  <c:v>3.0264230008148063</c:v>
                </c:pt>
                <c:pt idx="17">
                  <c:v>3.0612094720885392</c:v>
                </c:pt>
                <c:pt idx="18">
                  <c:v>3.0968049310663135</c:v>
                </c:pt>
                <c:pt idx="19">
                  <c:v>3.1332379302553286</c:v>
                </c:pt>
                <c:pt idx="20">
                  <c:v>3.1705383818059878</c:v>
                </c:pt>
                <c:pt idx="21">
                  <c:v>3.208737639418108</c:v>
                </c:pt>
                <c:pt idx="22">
                  <c:v>3.2478685862402803</c:v>
                </c:pt>
                <c:pt idx="23">
                  <c:v>3.2879657292802835</c:v>
                </c:pt>
                <c:pt idx="24">
                  <c:v>3.3290653008962874</c:v>
                </c:pt>
                <c:pt idx="25">
                  <c:v>3.3712053679962399</c:v>
                </c:pt>
                <c:pt idx="26">
                  <c:v>3.4144259496372174</c:v>
                </c:pt>
                <c:pt idx="27">
                  <c:v>3.4587691437883499</c:v>
                </c:pt>
                <c:pt idx="28">
                  <c:v>3.504279264101354</c:v>
                </c:pt>
                <c:pt idx="29">
                  <c:v>3.5510029876227058</c:v>
                </c:pt>
                <c:pt idx="30">
                  <c:v>3.5989895144824722</c:v>
                </c:pt>
                <c:pt idx="31">
                  <c:v>3.6482907407082594</c:v>
                </c:pt>
                <c:pt idx="32">
                  <c:v>3.6989614454403186</c:v>
                </c:pt>
                <c:pt idx="33">
                  <c:v>3.7510594939676474</c:v>
                </c:pt>
                <c:pt idx="34">
                  <c:v>3.8046460581671848</c:v>
                </c:pt>
                <c:pt idx="35">
                  <c:v>3.8597858561116372</c:v>
                </c:pt>
                <c:pt idx="36">
                  <c:v>3.9165474128191611</c:v>
                </c:pt>
                <c:pt idx="37">
                  <c:v>3.9750033443537758</c:v>
                </c:pt>
                <c:pt idx="38">
                  <c:v>4.0352306677530754</c:v>
                </c:pt>
                <c:pt idx="39">
                  <c:v>4.0973111395646606</c:v>
                </c:pt>
                <c:pt idx="40">
                  <c:v>4.1613316261203579</c:v>
                </c:pt>
                <c:pt idx="41">
                  <c:v>4.2273845090746498</c:v>
                </c:pt>
                <c:pt idx="42">
                  <c:v>4.2955681301887569</c:v>
                </c:pt>
                <c:pt idx="43">
                  <c:v>4.3659872798639823</c:v>
                </c:pt>
                <c:pt idx="44">
                  <c:v>4.4387537345283823</c:v>
                </c:pt>
                <c:pt idx="45">
                  <c:v>4.5139868486729311</c:v>
                </c:pt>
                <c:pt idx="46">
                  <c:v>4.5918142081328099</c:v>
                </c:pt>
                <c:pt idx="47">
                  <c:v>4.672372352135139</c:v>
                </c:pt>
                <c:pt idx="48">
                  <c:v>4.7558075727089815</c:v>
                </c:pt>
                <c:pt idx="49">
                  <c:v>4.8422768013036901</c:v>
                </c:pt>
                <c:pt idx="50">
                  <c:v>4.9319485939204259</c:v>
                </c:pt>
                <c:pt idx="51">
                  <c:v>5.0250042277679805</c:v>
                </c:pt>
                <c:pt idx="52">
                  <c:v>5.1216389244558256</c:v>
                </c:pt>
                <c:pt idx="53">
                  <c:v>5.2220632170922139</c:v>
                </c:pt>
                <c:pt idx="54">
                  <c:v>5.3265044814340596</c:v>
                </c:pt>
                <c:pt idx="55">
                  <c:v>5.4352086545245495</c:v>
                </c:pt>
                <c:pt idx="56">
                  <c:v>5.5484421681604781</c:v>
                </c:pt>
                <c:pt idx="57">
                  <c:v>5.6664941291851703</c:v>
                </c:pt>
                <c:pt idx="58">
                  <c:v>5.7896787841674557</c:v>
                </c:pt>
                <c:pt idx="59">
                  <c:v>5.9183383127045097</c:v>
                </c:pt>
                <c:pt idx="60">
                  <c:v>6.0528460016296117</c:v>
                </c:pt>
                <c:pt idx="61">
                  <c:v>6.193609862132627</c:v>
                </c:pt>
                <c:pt idx="62">
                  <c:v>6.3410767636119756</c:v>
                </c:pt>
                <c:pt idx="63">
                  <c:v>6.4957371724805597</c:v>
                </c:pt>
                <c:pt idx="64">
                  <c:v>6.6581306017925748</c:v>
                </c:pt>
                <c:pt idx="65">
                  <c:v>6.8288518992744347</c:v>
                </c:pt>
                <c:pt idx="66">
                  <c:v>7.0085585282027081</c:v>
                </c:pt>
                <c:pt idx="67">
                  <c:v>7.1979790289649452</c:v>
                </c:pt>
                <c:pt idx="68">
                  <c:v>7.3979228908806371</c:v>
                </c:pt>
                <c:pt idx="69">
                  <c:v>7.6092921163343696</c:v>
                </c:pt>
                <c:pt idx="70">
                  <c:v>7.8330948256383239</c:v>
                </c:pt>
                <c:pt idx="71">
                  <c:v>8.0704613355061507</c:v>
                </c:pt>
                <c:pt idx="72">
                  <c:v>8.3226632522407158</c:v>
                </c:pt>
                <c:pt idx="73">
                  <c:v>8.5911362603775121</c:v>
                </c:pt>
                <c:pt idx="74">
                  <c:v>8.8775074690567646</c:v>
                </c:pt>
                <c:pt idx="75">
                  <c:v>9.1836284162656199</c:v>
                </c:pt>
                <c:pt idx="76">
                  <c:v>9.5116151454179612</c:v>
                </c:pt>
                <c:pt idx="77">
                  <c:v>9.8638971878408519</c:v>
                </c:pt>
                <c:pt idx="78">
                  <c:v>10.243277848911651</c:v>
                </c:pt>
                <c:pt idx="79">
                  <c:v>10.653008962868116</c:v>
                </c:pt>
                <c:pt idx="80">
                  <c:v>11.09688433632096</c:v>
                </c:pt>
                <c:pt idx="81">
                  <c:v>11.579357568334911</c:v>
                </c:pt>
                <c:pt idx="82">
                  <c:v>12.105692003259223</c:v>
                </c:pt>
                <c:pt idx="83">
                  <c:v>12.682153527223953</c:v>
                </c:pt>
                <c:pt idx="84">
                  <c:v>13.31626120358515</c:v>
                </c:pt>
                <c:pt idx="85">
                  <c:v>14.017117056405416</c:v>
                </c:pt>
                <c:pt idx="86">
                  <c:v>14.795845781761273</c:v>
                </c:pt>
                <c:pt idx="87">
                  <c:v>15.666189651276648</c:v>
                </c:pt>
                <c:pt idx="88">
                  <c:v>16.645326504481432</c:v>
                </c:pt>
                <c:pt idx="89">
                  <c:v>17.755014938113522</c:v>
                </c:pt>
                <c:pt idx="90">
                  <c:v>19.023230290835933</c:v>
                </c:pt>
                <c:pt idx="91">
                  <c:v>20.486555697823302</c:v>
                </c:pt>
                <c:pt idx="92">
                  <c:v>22.193768672641905</c:v>
                </c:pt>
                <c:pt idx="93">
                  <c:v>24.211384006518461</c:v>
                </c:pt>
                <c:pt idx="94">
                  <c:v>25</c:v>
                </c:pt>
                <c:pt idx="95">
                  <c:v>25</c:v>
                </c:pt>
                <c:pt idx="96">
                  <c:v>25</c:v>
                </c:pt>
                <c:pt idx="97">
                  <c:v>25</c:v>
                </c:pt>
                <c:pt idx="98">
                  <c:v>25</c:v>
                </c:pt>
                <c:pt idx="99">
                  <c:v>25</c:v>
                </c:pt>
                <c:pt idx="100">
                  <c:v>25</c:v>
                </c:pt>
                <c:pt idx="101">
                  <c:v>25</c:v>
                </c:pt>
                <c:pt idx="102">
                  <c:v>25</c:v>
                </c:pt>
              </c:numCache>
            </c:numRef>
          </c:yVal>
          <c:smooth val="1"/>
        </c:ser>
        <c:dLbls>
          <c:showLegendKey val="0"/>
          <c:showVal val="0"/>
          <c:showCatName val="0"/>
          <c:showSerName val="0"/>
          <c:showPercent val="0"/>
          <c:showBubbleSize val="0"/>
        </c:dLbls>
        <c:axId val="159115040"/>
        <c:axId val="159120136"/>
      </c:scatterChart>
      <c:valAx>
        <c:axId val="159115040"/>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59120136"/>
        <c:crosses val="autoZero"/>
        <c:crossBetween val="midCat"/>
      </c:valAx>
      <c:valAx>
        <c:axId val="15912013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59115040"/>
        <c:crosses val="autoZero"/>
        <c:crossBetween val="midCat"/>
      </c:valAx>
    </c:plotArea>
    <c:legend>
      <c:legendPos val="r"/>
      <c:layout>
        <c:manualLayout>
          <c:xMode val="edge"/>
          <c:yMode val="edge"/>
          <c:x val="0.34624252358789731"/>
          <c:y val="0.24479126489117181"/>
          <c:w val="0.21462230092985587"/>
          <c:h val="0.1679244395525828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59114256"/>
        <c:axId val="159117392"/>
      </c:lineChart>
      <c:catAx>
        <c:axId val="159114256"/>
        <c:scaling>
          <c:orientation val="minMax"/>
        </c:scaling>
        <c:delete val="0"/>
        <c:axPos val="b"/>
        <c:majorTickMark val="out"/>
        <c:minorTickMark val="none"/>
        <c:tickLblPos val="nextTo"/>
        <c:crossAx val="159117392"/>
        <c:crosses val="autoZero"/>
        <c:auto val="1"/>
        <c:lblAlgn val="ctr"/>
        <c:lblOffset val="100"/>
        <c:noMultiLvlLbl val="0"/>
      </c:catAx>
      <c:valAx>
        <c:axId val="159117392"/>
        <c:scaling>
          <c:orientation val="minMax"/>
        </c:scaling>
        <c:delete val="0"/>
        <c:axPos val="l"/>
        <c:majorGridlines/>
        <c:majorTickMark val="out"/>
        <c:minorTickMark val="none"/>
        <c:tickLblPos val="nextTo"/>
        <c:crossAx val="15911425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4.png"/><Relationship Id="rId7" Type="http://schemas.openxmlformats.org/officeDocument/2006/relationships/chart" Target="../charts/chart1.xml"/><Relationship Id="rId12" Type="http://schemas.openxmlformats.org/officeDocument/2006/relationships/image" Target="../media/image10.png"/><Relationship Id="rId2" Type="http://schemas.openxmlformats.org/officeDocument/2006/relationships/image" Target="../media/image3.emf"/><Relationship Id="rId1" Type="http://schemas.openxmlformats.org/officeDocument/2006/relationships/hyperlink" Target="http://www.ti.com/lit/gpn/lm5067" TargetMode="External"/><Relationship Id="rId6" Type="http://schemas.openxmlformats.org/officeDocument/2006/relationships/image" Target="../media/image7.jpeg"/><Relationship Id="rId11" Type="http://schemas.openxmlformats.org/officeDocument/2006/relationships/image" Target="../media/image9.png"/><Relationship Id="rId5" Type="http://schemas.openxmlformats.org/officeDocument/2006/relationships/image" Target="../media/image6.png"/><Relationship Id="rId10"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xdr:cNvSpPr>
          <a:spLocks noChangeArrowheads="1"/>
        </xdr:cNvSpPr>
      </xdr:nvSpPr>
      <xdr:spPr bwMode="auto">
        <a:xfrm>
          <a:off x="0" y="276225"/>
          <a:ext cx="9725025" cy="93345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46705</xdr:colOff>
      <xdr:row>2</xdr:row>
      <xdr:rowOff>156305</xdr:rowOff>
    </xdr:from>
    <xdr:to>
      <xdr:col>3</xdr:col>
      <xdr:colOff>504826</xdr:colOff>
      <xdr:row>4</xdr:row>
      <xdr:rowOff>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305" y="489680"/>
          <a:ext cx="1677321" cy="519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9</xdr:col>
      <xdr:colOff>9525</xdr:colOff>
      <xdr:row>7</xdr:row>
      <xdr:rowOff>0</xdr:rowOff>
    </xdr:to>
    <xdr:sp macro="" textlink="">
      <xdr:nvSpPr>
        <xdr:cNvPr id="1025" name="Text Box 1">
          <a:hlinkClick xmlns:r="http://schemas.openxmlformats.org/officeDocument/2006/relationships" r:id="rId1"/>
        </xdr:cNvPr>
        <xdr:cNvSpPr txBox="1">
          <a:spLocks noChangeArrowheads="1"/>
        </xdr:cNvSpPr>
      </xdr:nvSpPr>
      <xdr:spPr bwMode="auto">
        <a:xfrm>
          <a:off x="26669" y="876300"/>
          <a:ext cx="8221981" cy="904875"/>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LM5067 Hot-swap Controller. As such, they are not optimized for any particular performance attribute. Tolerances of the components are not included in the calculations. See the Instructions tab for additional information.</a:t>
          </a:r>
        </a:p>
        <a:p>
          <a:pPr algn="l" rtl="0">
            <a:defRPr sz="1000"/>
          </a:pPr>
          <a:endParaRPr lang="en-US" sz="1200" b="0" i="0" u="none" strike="noStrike" baseline="0">
            <a:solidFill>
              <a:srgbClr val="FF0000"/>
            </a:solidFill>
            <a:latin typeface="Arial"/>
            <a:cs typeface="Arial"/>
          </a:endParaRPr>
        </a:p>
        <a:p>
          <a:pPr algn="l" rtl="0">
            <a:defRPr sz="1000"/>
          </a:pPr>
          <a:r>
            <a:rPr lang="en-US" sz="1200" b="1" i="0" u="none" strike="noStrike" baseline="0">
              <a:solidFill>
                <a:sysClr val="windowText" lastClr="000000"/>
              </a:solidFill>
              <a:latin typeface="Arial"/>
              <a:cs typeface="Arial"/>
            </a:rPr>
            <a:t>P</a:t>
          </a:r>
          <a:r>
            <a:rPr lang="en-US" altLang="zh-CN" sz="1200" b="1" i="0" u="none" strike="noStrike" baseline="0">
              <a:solidFill>
                <a:sysClr val="windowText" lastClr="000000"/>
              </a:solidFill>
              <a:latin typeface="Arial"/>
              <a:cs typeface="Arial"/>
            </a:rPr>
            <a:t>lease c</a:t>
          </a:r>
          <a:r>
            <a:rPr lang="en-US" sz="1200" b="1" i="0" u="none" strike="noStrike" baseline="0">
              <a:solidFill>
                <a:sysClr val="windowText" lastClr="000000"/>
              </a:solidFill>
              <a:latin typeface="Arial"/>
              <a:cs typeface="Arial"/>
            </a:rPr>
            <a:t>onsult the LM5067 datasheet for more detail.</a:t>
          </a:r>
        </a:p>
      </xdr:txBody>
    </xdr:sp>
    <xdr:clientData/>
  </xdr:twoCellAnchor>
  <xdr:twoCellAnchor>
    <xdr:from>
      <xdr:col>39</xdr:col>
      <xdr:colOff>0</xdr:colOff>
      <xdr:row>44</xdr:row>
      <xdr:rowOff>0</xdr:rowOff>
    </xdr:from>
    <xdr:to>
      <xdr:col>39</xdr:col>
      <xdr:colOff>0</xdr:colOff>
      <xdr:row>51</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5</xdr:col>
      <xdr:colOff>95251</xdr:colOff>
      <xdr:row>143</xdr:row>
      <xdr:rowOff>95251</xdr:rowOff>
    </xdr:from>
    <xdr:to>
      <xdr:col>10</xdr:col>
      <xdr:colOff>632841</xdr:colOff>
      <xdr:row>143</xdr:row>
      <xdr:rowOff>97409</xdr:rowOff>
    </xdr:to>
    <xdr:pic>
      <xdr:nvPicPr>
        <xdr:cNvPr id="3" name="Picture 216"/>
        <xdr:cNvPicPr>
          <a:picLocks noChangeAspect="1" noChangeArrowheads="1"/>
        </xdr:cNvPicPr>
      </xdr:nvPicPr>
      <xdr:blipFill>
        <a:blip xmlns:r="http://schemas.openxmlformats.org/officeDocument/2006/relationships" r:embed="rId2" cstate="print"/>
        <a:srcRect/>
        <a:stretch>
          <a:fillRect/>
        </a:stretch>
      </xdr:blipFill>
      <xdr:spPr bwMode="auto">
        <a:xfrm>
          <a:off x="5619751" y="23250526"/>
          <a:ext cx="4061840" cy="2158"/>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35063</xdr:colOff>
      <xdr:row>96</xdr:row>
      <xdr:rowOff>27786</xdr:rowOff>
    </xdr:from>
    <xdr:to>
      <xdr:col>12</xdr:col>
      <xdr:colOff>291479</xdr:colOff>
      <xdr:row>106</xdr:row>
      <xdr:rowOff>188643</xdr:rowOff>
    </xdr:to>
    <xdr:pic>
      <xdr:nvPicPr>
        <xdr:cNvPr id="1253" name="Picture 22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416938" y="14953461"/>
          <a:ext cx="3161541" cy="2065857"/>
        </a:xfrm>
        <a:prstGeom prst="rect">
          <a:avLst/>
        </a:prstGeom>
        <a:noFill/>
      </xdr:spPr>
    </xdr:pic>
    <xdr:clientData/>
  </xdr:twoCellAnchor>
  <xdr:twoCellAnchor editAs="oneCell">
    <xdr:from>
      <xdr:col>8</xdr:col>
      <xdr:colOff>133395</xdr:colOff>
      <xdr:row>107</xdr:row>
      <xdr:rowOff>135032</xdr:rowOff>
    </xdr:from>
    <xdr:to>
      <xdr:col>12</xdr:col>
      <xdr:colOff>231776</xdr:colOff>
      <xdr:row>118</xdr:row>
      <xdr:rowOff>142875</xdr:rowOff>
    </xdr:to>
    <xdr:pic>
      <xdr:nvPicPr>
        <xdr:cNvPr id="1254" name="Picture 23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7515270" y="17156207"/>
          <a:ext cx="3003506" cy="2103343"/>
        </a:xfrm>
        <a:prstGeom prst="rect">
          <a:avLst/>
        </a:prstGeom>
        <a:noFill/>
      </xdr:spPr>
    </xdr:pic>
    <xdr:clientData/>
  </xdr:twoCellAnchor>
  <xdr:twoCellAnchor editAs="oneCell">
    <xdr:from>
      <xdr:col>10</xdr:col>
      <xdr:colOff>66675</xdr:colOff>
      <xdr:row>2</xdr:row>
      <xdr:rowOff>64321</xdr:rowOff>
    </xdr:from>
    <xdr:to>
      <xdr:col>12</xdr:col>
      <xdr:colOff>461699</xdr:colOff>
      <xdr:row>10</xdr:row>
      <xdr:rowOff>87108</xdr:rowOff>
    </xdr:to>
    <xdr:pic>
      <xdr:nvPicPr>
        <xdr:cNvPr id="17" name="Picture 1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355455" y="1032061"/>
          <a:ext cx="1880924" cy="1478207"/>
        </a:xfrm>
        <a:prstGeom prst="rect">
          <a:avLst/>
        </a:prstGeom>
      </xdr:spPr>
    </xdr:pic>
    <xdr:clientData/>
  </xdr:twoCellAnchor>
  <xdr:twoCellAnchor>
    <xdr:from>
      <xdr:col>7</xdr:col>
      <xdr:colOff>274321</xdr:colOff>
      <xdr:row>34</xdr:row>
      <xdr:rowOff>76201</xdr:rowOff>
    </xdr:from>
    <xdr:to>
      <xdr:col>38</xdr:col>
      <xdr:colOff>304801</xdr:colOff>
      <xdr:row>50</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8</xdr:col>
      <xdr:colOff>53340</xdr:colOff>
      <xdr:row>26</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40</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53</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276224</xdr:colOff>
      <xdr:row>81</xdr:row>
      <xdr:rowOff>114301</xdr:rowOff>
    </xdr:from>
    <xdr:to>
      <xdr:col>38</xdr:col>
      <xdr:colOff>337763</xdr:colOff>
      <xdr:row>92</xdr:row>
      <xdr:rowOff>114301</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266700</xdr:colOff>
      <xdr:row>53</xdr:row>
      <xdr:rowOff>9526</xdr:rowOff>
    </xdr:from>
    <xdr:to>
      <xdr:col>38</xdr:col>
      <xdr:colOff>318919</xdr:colOff>
      <xdr:row>80</xdr:row>
      <xdr:rowOff>114301</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7</xdr:col>
      <xdr:colOff>137689</xdr:colOff>
      <xdr:row>15</xdr:row>
      <xdr:rowOff>55013</xdr:rowOff>
    </xdr:from>
    <xdr:to>
      <xdr:col>38</xdr:col>
      <xdr:colOff>314325</xdr:colOff>
      <xdr:row>31</xdr:row>
      <xdr:rowOff>52629</xdr:rowOff>
    </xdr:to>
    <xdr:pic>
      <xdr:nvPicPr>
        <xdr:cNvPr id="6" name="Picture 5"/>
        <xdr:cNvPicPr>
          <a:picLocks noChangeAspect="1"/>
        </xdr:cNvPicPr>
      </xdr:nvPicPr>
      <xdr:blipFill>
        <a:blip xmlns:r="http://schemas.openxmlformats.org/officeDocument/2006/relationships" r:embed="rId10" cstate="print"/>
        <a:stretch>
          <a:fillRect/>
        </a:stretch>
      </xdr:blipFill>
      <xdr:spPr>
        <a:xfrm>
          <a:off x="6881389" y="3503063"/>
          <a:ext cx="4377161" cy="1902616"/>
        </a:xfrm>
        <a:prstGeom prst="rect">
          <a:avLst/>
        </a:prstGeom>
      </xdr:spPr>
    </xdr:pic>
    <xdr:clientData/>
  </xdr:twoCellAnchor>
  <xdr:twoCellAnchor editAs="oneCell">
    <xdr:from>
      <xdr:col>1</xdr:col>
      <xdr:colOff>1343025</xdr:colOff>
      <xdr:row>77</xdr:row>
      <xdr:rowOff>95251</xdr:rowOff>
    </xdr:from>
    <xdr:to>
      <xdr:col>5</xdr:col>
      <xdr:colOff>483677</xdr:colOff>
      <xdr:row>95</xdr:row>
      <xdr:rowOff>161925</xdr:rowOff>
    </xdr:to>
    <xdr:pic>
      <xdr:nvPicPr>
        <xdr:cNvPr id="114" name="Picture 113"/>
        <xdr:cNvPicPr>
          <a:picLocks noChangeAspect="1"/>
        </xdr:cNvPicPr>
      </xdr:nvPicPr>
      <xdr:blipFill>
        <a:blip xmlns:r="http://schemas.openxmlformats.org/officeDocument/2006/relationships" r:embed="rId11" cstate="print"/>
        <a:stretch>
          <a:fillRect/>
        </a:stretch>
      </xdr:blipFill>
      <xdr:spPr>
        <a:xfrm>
          <a:off x="1371600" y="11401426"/>
          <a:ext cx="4636577" cy="3495674"/>
        </a:xfrm>
        <a:prstGeom prst="rect">
          <a:avLst/>
        </a:prstGeom>
        <a:solidFill>
          <a:sysClr val="window" lastClr="FFFFFF"/>
        </a:solidFill>
      </xdr:spPr>
    </xdr:pic>
    <xdr:clientData/>
  </xdr:twoCellAnchor>
  <xdr:twoCellAnchor editAs="oneCell">
    <xdr:from>
      <xdr:col>1</xdr:col>
      <xdr:colOff>228600</xdr:colOff>
      <xdr:row>0</xdr:row>
      <xdr:rowOff>180975</xdr:rowOff>
    </xdr:from>
    <xdr:to>
      <xdr:col>1</xdr:col>
      <xdr:colOff>1891330</xdr:colOff>
      <xdr:row>0</xdr:row>
      <xdr:rowOff>619125</xdr:rowOff>
    </xdr:to>
    <xdr:pic>
      <xdr:nvPicPr>
        <xdr:cNvPr id="20" name="Picture 19"/>
        <xdr:cNvPicPr/>
      </xdr:nvPicPr>
      <xdr:blipFill>
        <a:blip xmlns:r="http://schemas.openxmlformats.org/officeDocument/2006/relationships" r:embed="rId12" cstate="print"/>
        <a:srcRect r="26499"/>
        <a:stretch>
          <a:fillRect/>
        </a:stretch>
      </xdr:blipFill>
      <xdr:spPr bwMode="auto">
        <a:xfrm>
          <a:off x="257175" y="180975"/>
          <a:ext cx="1662730" cy="4381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390525</xdr:colOff>
          <xdr:row>122</xdr:row>
          <xdr:rowOff>57150</xdr:rowOff>
        </xdr:from>
        <xdr:to>
          <xdr:col>4</xdr:col>
          <xdr:colOff>571500</xdr:colOff>
          <xdr:row>134</xdr:row>
          <xdr:rowOff>114300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28575</xdr:colOff>
      <xdr:row>122</xdr:row>
      <xdr:rowOff>76200</xdr:rowOff>
    </xdr:from>
    <xdr:to>
      <xdr:col>12</xdr:col>
      <xdr:colOff>561975</xdr:colOff>
      <xdr:row>148</xdr:row>
      <xdr:rowOff>19050</xdr:rowOff>
    </xdr:to>
    <xdr:sp macro="" textlink="">
      <xdr:nvSpPr>
        <xdr:cNvPr id="2" name="Text Box 17"/>
        <xdr:cNvSpPr txBox="1">
          <a:spLocks noChangeArrowheads="1"/>
        </xdr:cNvSpPr>
      </xdr:nvSpPr>
      <xdr:spPr bwMode="auto">
        <a:xfrm>
          <a:off x="33280350" y="7410450"/>
          <a:ext cx="4972050" cy="4343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R1 = </a:t>
          </a:r>
          <a:r>
            <a:rPr lang="en-US" sz="1000" b="0" i="0" u="sng" strike="noStrike" baseline="0">
              <a:solidFill>
                <a:srgbClr val="FF0000"/>
              </a:solidFill>
              <a:latin typeface="Arial"/>
              <a:cs typeface="Arial"/>
            </a:rPr>
            <a:t> UVLO</a:t>
          </a:r>
          <a:r>
            <a:rPr lang="en-US" sz="800" b="0" i="0" u="sng" strike="noStrike" baseline="0">
              <a:solidFill>
                <a:srgbClr val="FF0000"/>
              </a:solidFill>
              <a:latin typeface="Arial"/>
              <a:cs typeface="Arial"/>
            </a:rPr>
            <a:t>(upper)</a:t>
          </a:r>
          <a:r>
            <a:rPr lang="en-US" sz="1000" b="0" i="0" u="sng" strike="noStrike" baseline="0">
              <a:solidFill>
                <a:srgbClr val="FF0000"/>
              </a:solidFill>
              <a:latin typeface="Arial"/>
              <a:cs typeface="Arial"/>
            </a:rPr>
            <a:t> -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r>
            <a:rPr lang="en-US" sz="1000" b="0" i="0" u="none" strike="noStrike" baseline="0">
              <a:solidFill>
                <a:srgbClr val="FF0000"/>
              </a:solidFill>
              <a:latin typeface="Arial"/>
              <a:cs typeface="Arial"/>
            </a:rPr>
            <a:t>         </a:t>
          </a:r>
        </a:p>
        <a:p>
          <a:pPr algn="l" rtl="0">
            <a:defRPr sz="1000"/>
          </a:pPr>
          <a:r>
            <a:rPr lang="en-US" sz="1000" b="0" i="0" u="none" strike="noStrike" baseline="0">
              <a:solidFill>
                <a:srgbClr val="FF0000"/>
              </a:solidFill>
              <a:latin typeface="Arial"/>
              <a:cs typeface="Arial"/>
            </a:rPr>
            <a:t>                     22 uA </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R3 = </a:t>
          </a:r>
          <a:r>
            <a:rPr lang="en-US" sz="1000" b="0" i="0" u="sng" strike="noStrike" baseline="0">
              <a:solidFill>
                <a:srgbClr val="FF0000"/>
              </a:solidFill>
              <a:latin typeface="Arial"/>
              <a:cs typeface="Arial"/>
            </a:rPr>
            <a:t>         2.5V x R1 x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x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R2 =  </a:t>
          </a:r>
          <a:r>
            <a:rPr lang="en-US" sz="1000" b="0" i="0" u="sng" strike="noStrike" baseline="0">
              <a:solidFill>
                <a:srgbClr val="FF0000"/>
              </a:solidFill>
              <a:latin typeface="Arial"/>
              <a:cs typeface="Arial"/>
            </a:rPr>
            <a:t>       2.5V  x  R1      </a:t>
          </a:r>
          <a:r>
            <a:rPr lang="en-US" sz="1000" b="0" i="0" u="none" strike="noStrike" baseline="0">
              <a:solidFill>
                <a:srgbClr val="FF0000"/>
              </a:solidFill>
              <a:latin typeface="Arial"/>
              <a:cs typeface="Arial"/>
            </a:rPr>
            <a:t>  -  R3</a:t>
          </a:r>
        </a:p>
        <a:p>
          <a:pPr algn="l" rtl="0">
            <a:defRPr sz="1000"/>
          </a:pPr>
          <a:r>
            <a:rPr lang="en-US" sz="1000" b="0" i="0" u="none" strike="noStrike" baseline="0">
              <a:solidFill>
                <a:srgbClr val="FF0000"/>
              </a:solidFill>
              <a:latin typeface="Arial"/>
              <a:cs typeface="Arial"/>
            </a:rPr>
            <a:t>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FF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2.5V + (R1 x  </a:t>
          </a:r>
          <a:r>
            <a:rPr lang="en-US" sz="1000" b="0" i="0" u="sng" strike="noStrike" baseline="0">
              <a:solidFill>
                <a:srgbClr val="FF0000"/>
              </a:solidFill>
              <a:latin typeface="Arial"/>
              <a:cs typeface="Arial"/>
            </a:rPr>
            <a:t>( 2.5V    </a:t>
          </a:r>
          <a:r>
            <a:rPr lang="en-US" sz="1000" b="0" i="0" u="none" strike="noStrike" baseline="0">
              <a:solidFill>
                <a:srgbClr val="FF0000"/>
              </a:solidFill>
              <a:latin typeface="Arial"/>
              <a:cs typeface="Arial"/>
            </a:rPr>
            <a:t> +  22uA)</a:t>
          </a: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 x </a:t>
          </a:r>
          <a:r>
            <a:rPr lang="en-US" sz="1000" b="0" i="0" u="sng" strike="noStrike" baseline="0">
              <a:solidFill>
                <a:srgbClr val="FF0000"/>
              </a:solidFill>
              <a:latin typeface="Arial"/>
              <a:cs typeface="Arial"/>
            </a:rPr>
            <a:t>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a:t>
          </a:r>
          <a:r>
            <a:rPr lang="en-US" sz="1000" b="0" i="0" u="sng" strike="noStrike" baseline="0">
              <a:solidFill>
                <a:srgbClr val="FF0000"/>
              </a:solidFill>
              <a:latin typeface="Arial"/>
              <a:cs typeface="Arial"/>
            </a:rPr>
            <a:t>  2.5V x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((R1 + R2) x ((</a:t>
          </a:r>
          <a:r>
            <a:rPr lang="en-US" sz="1000" b="0" i="0" u="sng" strike="noStrike" baseline="0">
              <a:solidFill>
                <a:srgbClr val="FF0000"/>
              </a:solidFill>
              <a:latin typeface="Arial"/>
              <a:cs typeface="Arial"/>
            </a:rPr>
            <a:t> 2.5V)</a:t>
          </a:r>
          <a:r>
            <a:rPr lang="en-US" sz="1000" b="0" i="0" u="none" strike="noStrike" baseline="0">
              <a:solidFill>
                <a:srgbClr val="FF0000"/>
              </a:solidFill>
              <a:latin typeface="Arial"/>
              <a:cs typeface="Arial"/>
            </a:rPr>
            <a:t>  -  22uA)) + 2.5V</a:t>
          </a: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142875</xdr:colOff>
      <xdr:row>22</xdr:row>
      <xdr:rowOff>95250</xdr:rowOff>
    </xdr:from>
    <xdr:to>
      <xdr:col>25</xdr:col>
      <xdr:colOff>474902</xdr:colOff>
      <xdr:row>49</xdr:row>
      <xdr:rowOff>131985</xdr:rowOff>
    </xdr:to>
    <xdr:pic>
      <xdr:nvPicPr>
        <xdr:cNvPr id="2" name="Picture 219"/>
        <xdr:cNvPicPr>
          <a:picLocks noChangeAspect="1" noChangeArrowheads="1"/>
        </xdr:cNvPicPr>
      </xdr:nvPicPr>
      <xdr:blipFill>
        <a:blip xmlns:r="http://schemas.openxmlformats.org/officeDocument/2006/relationships" r:embed="rId1" cstate="print"/>
        <a:srcRect/>
        <a:stretch>
          <a:fillRect/>
        </a:stretch>
      </xdr:blipFill>
      <xdr:spPr bwMode="auto">
        <a:xfrm>
          <a:off x="12906375" y="3819525"/>
          <a:ext cx="6428027" cy="4446810"/>
        </a:xfrm>
        <a:prstGeom prst="rect">
          <a:avLst/>
        </a:prstGeom>
        <a:noFill/>
        <a:ln w="1">
          <a:noFill/>
          <a:miter lim="800000"/>
          <a:headEnd/>
          <a:tailEnd type="none" w="med" len="med"/>
        </a:ln>
        <a:effectLst/>
      </xdr:spPr>
    </xdr:pic>
    <xdr:clientData/>
  </xdr:twoCellAnchor>
  <xdr:twoCellAnchor>
    <xdr:from>
      <xdr:col>15</xdr:col>
      <xdr:colOff>304800</xdr:colOff>
      <xdr:row>2</xdr:row>
      <xdr:rowOff>85725</xdr:rowOff>
    </xdr:from>
    <xdr:to>
      <xdr:col>23</xdr:col>
      <xdr:colOff>0</xdr:colOff>
      <xdr:row>21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6" Type="http://schemas.openxmlformats.org/officeDocument/2006/relationships/image" Target="../media/image2.emf"/><Relationship Id="rId5" Type="http://schemas.openxmlformats.org/officeDocument/2006/relationships/oleObject" Target="../embeddings/Microsoft_Visio_2003-2010_Drawing1.vsd"/><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activeCell="F7" sqref="F7"/>
    </sheetView>
  </sheetViews>
  <sheetFormatPr defaultRowHeight="12.75" x14ac:dyDescent="0.2"/>
  <sheetData>
    <row r="1" spans="1:16" ht="13.5" thickTop="1" x14ac:dyDescent="0.2">
      <c r="A1" s="230"/>
      <c r="B1" s="231"/>
      <c r="C1" s="231"/>
      <c r="D1" s="231"/>
      <c r="E1" s="231"/>
      <c r="F1" s="231"/>
      <c r="G1" s="231"/>
      <c r="H1" s="231"/>
      <c r="I1" s="231"/>
      <c r="J1" s="231"/>
      <c r="K1" s="231"/>
      <c r="L1" s="231"/>
      <c r="M1" s="231"/>
      <c r="N1" s="231"/>
      <c r="O1" s="231"/>
      <c r="P1" s="232"/>
    </row>
    <row r="2" spans="1:16" x14ac:dyDescent="0.2">
      <c r="A2" s="233"/>
      <c r="B2" s="234"/>
      <c r="C2" s="234"/>
      <c r="D2" s="234"/>
      <c r="E2" s="234"/>
      <c r="F2" s="234"/>
      <c r="G2" s="234"/>
      <c r="H2" s="234"/>
      <c r="I2" s="234"/>
      <c r="J2" s="234"/>
      <c r="K2" s="234"/>
      <c r="L2" s="234"/>
      <c r="M2" s="234"/>
      <c r="N2" s="234"/>
      <c r="O2" s="234"/>
      <c r="P2" s="235"/>
    </row>
    <row r="3" spans="1:16" ht="30" x14ac:dyDescent="0.4">
      <c r="A3" s="233"/>
      <c r="B3" s="234"/>
      <c r="C3" s="234"/>
      <c r="D3" s="236"/>
      <c r="E3" s="234"/>
      <c r="F3" s="234"/>
      <c r="G3" s="234"/>
      <c r="H3" s="234"/>
      <c r="I3" s="234"/>
      <c r="J3" s="234"/>
      <c r="K3" s="234"/>
      <c r="L3" s="237"/>
      <c r="M3" s="234"/>
      <c r="N3" s="234"/>
      <c r="O3" s="234"/>
      <c r="P3" s="235"/>
    </row>
    <row r="4" spans="1:16" ht="23.25" x14ac:dyDescent="0.35">
      <c r="A4" s="233"/>
      <c r="B4" s="234"/>
      <c r="C4" s="234"/>
      <c r="D4" s="238"/>
      <c r="E4" s="234"/>
      <c r="F4" s="234"/>
      <c r="G4" s="234"/>
      <c r="H4" s="234"/>
      <c r="I4" s="234"/>
      <c r="J4" s="234"/>
      <c r="K4" s="234"/>
      <c r="L4" s="234"/>
      <c r="M4" s="234"/>
      <c r="N4" s="234"/>
      <c r="O4" s="234"/>
      <c r="P4" s="235"/>
    </row>
    <row r="5" spans="1:16" x14ac:dyDescent="0.2">
      <c r="A5" s="233"/>
      <c r="B5" s="234"/>
      <c r="C5" s="234"/>
      <c r="D5" s="234"/>
      <c r="E5" s="234"/>
      <c r="F5" s="234"/>
      <c r="G5" s="234"/>
      <c r="H5" s="234"/>
      <c r="I5" s="234"/>
      <c r="J5" s="234"/>
      <c r="K5" s="234"/>
      <c r="L5" s="234"/>
      <c r="M5" s="234"/>
      <c r="N5" s="234"/>
      <c r="O5" s="234"/>
      <c r="P5" s="235"/>
    </row>
    <row r="6" spans="1:16" x14ac:dyDescent="0.2">
      <c r="A6" s="233"/>
      <c r="B6" s="234"/>
      <c r="C6" s="234"/>
      <c r="D6" s="234"/>
      <c r="E6" s="234"/>
      <c r="F6" s="234"/>
      <c r="G6" s="234"/>
      <c r="H6" s="234"/>
      <c r="I6" s="234"/>
      <c r="J6" s="234"/>
      <c r="K6" s="234"/>
      <c r="L6" s="234"/>
      <c r="M6" s="234"/>
      <c r="N6" s="234"/>
      <c r="O6" s="234"/>
      <c r="P6" s="235"/>
    </row>
    <row r="7" spans="1:16" ht="15.75" x14ac:dyDescent="0.25">
      <c r="A7" s="233"/>
      <c r="B7" s="234"/>
      <c r="C7" s="234"/>
      <c r="D7" s="234"/>
      <c r="E7" s="234"/>
      <c r="F7" s="234"/>
      <c r="G7" s="234"/>
      <c r="H7" s="234"/>
      <c r="I7" s="234"/>
      <c r="J7" s="234"/>
      <c r="K7" s="234"/>
      <c r="L7" s="234"/>
      <c r="M7" s="237" t="s">
        <v>470</v>
      </c>
      <c r="N7" s="234"/>
      <c r="O7" s="234"/>
      <c r="P7" s="235"/>
    </row>
    <row r="8" spans="1:16" ht="30" x14ac:dyDescent="0.4">
      <c r="A8" s="233"/>
      <c r="B8" s="236" t="s">
        <v>507</v>
      </c>
      <c r="C8" s="234"/>
      <c r="D8" s="234"/>
      <c r="E8" s="234"/>
      <c r="F8" s="234"/>
      <c r="G8" s="234"/>
      <c r="H8" s="234"/>
      <c r="I8" s="234"/>
      <c r="J8" s="234"/>
      <c r="K8" s="234"/>
      <c r="L8" s="234"/>
      <c r="M8" s="234"/>
      <c r="N8" s="234"/>
      <c r="O8" s="234"/>
      <c r="P8" s="235"/>
    </row>
    <row r="9" spans="1:16" x14ac:dyDescent="0.2">
      <c r="A9" s="233"/>
      <c r="B9" s="234"/>
      <c r="C9" s="234"/>
      <c r="D9" s="234"/>
      <c r="E9" s="234"/>
      <c r="F9" s="234"/>
      <c r="G9" s="234"/>
      <c r="H9" s="234"/>
      <c r="I9" s="234"/>
      <c r="J9" s="234"/>
      <c r="K9" s="234"/>
      <c r="L9" s="234"/>
      <c r="M9" s="234"/>
      <c r="N9" s="234"/>
      <c r="O9" s="234"/>
      <c r="P9" s="235"/>
    </row>
    <row r="10" spans="1:16" ht="20.25" x14ac:dyDescent="0.3">
      <c r="A10" s="233"/>
      <c r="B10" s="239" t="s">
        <v>471</v>
      </c>
      <c r="C10" s="240"/>
      <c r="D10" s="240"/>
      <c r="E10" s="240"/>
      <c r="F10" s="234"/>
      <c r="G10" s="234"/>
      <c r="H10" s="234"/>
      <c r="I10" s="234"/>
      <c r="J10" s="234"/>
      <c r="K10" s="234"/>
      <c r="L10" s="234"/>
      <c r="M10" s="234"/>
      <c r="N10" s="234"/>
      <c r="O10" s="234"/>
      <c r="P10" s="235"/>
    </row>
    <row r="11" spans="1:16" ht="14.25" x14ac:dyDescent="0.2">
      <c r="A11" s="233"/>
      <c r="B11" s="241" t="s">
        <v>472</v>
      </c>
      <c r="C11" s="242"/>
      <c r="D11" s="242"/>
      <c r="E11" s="242"/>
      <c r="F11" s="234"/>
      <c r="G11" s="234"/>
      <c r="H11" s="234"/>
      <c r="I11" s="234"/>
      <c r="J11" s="234"/>
      <c r="K11" s="234"/>
      <c r="L11" s="234"/>
      <c r="M11" s="234"/>
      <c r="N11" s="234"/>
      <c r="O11" s="234"/>
      <c r="P11" s="235"/>
    </row>
    <row r="12" spans="1:16" ht="14.25" x14ac:dyDescent="0.2">
      <c r="A12" s="233"/>
      <c r="B12" s="241" t="s">
        <v>473</v>
      </c>
      <c r="C12" s="242"/>
      <c r="D12" s="242"/>
      <c r="E12" s="242"/>
      <c r="F12" s="234"/>
      <c r="G12" s="234"/>
      <c r="H12" s="234"/>
      <c r="I12" s="234"/>
      <c r="J12" s="234"/>
      <c r="K12" s="234"/>
      <c r="L12" s="234"/>
      <c r="M12" s="234"/>
      <c r="N12" s="234"/>
      <c r="O12" s="234"/>
      <c r="P12" s="235"/>
    </row>
    <row r="13" spans="1:16" x14ac:dyDescent="0.2">
      <c r="A13" s="233"/>
      <c r="B13" s="240"/>
      <c r="C13" s="240"/>
      <c r="D13" s="240"/>
      <c r="E13" s="240"/>
      <c r="F13" s="234"/>
      <c r="G13" s="234"/>
      <c r="H13" s="234"/>
      <c r="I13" s="234"/>
      <c r="J13" s="234"/>
      <c r="K13" s="234"/>
      <c r="L13" s="234"/>
      <c r="M13" s="234"/>
      <c r="N13" s="234"/>
      <c r="O13" s="234"/>
      <c r="P13" s="235"/>
    </row>
    <row r="14" spans="1:16" x14ac:dyDescent="0.2">
      <c r="A14" s="233"/>
      <c r="B14" s="240"/>
      <c r="C14" s="240"/>
      <c r="D14" s="240"/>
      <c r="E14" s="240"/>
      <c r="F14" s="234"/>
      <c r="G14" s="234"/>
      <c r="H14" s="234"/>
      <c r="I14" s="234"/>
      <c r="J14" s="234"/>
      <c r="K14" s="234"/>
      <c r="L14" s="234"/>
      <c r="M14" s="234"/>
      <c r="N14" s="234"/>
      <c r="O14" s="234"/>
      <c r="P14" s="235"/>
    </row>
    <row r="15" spans="1:16" x14ac:dyDescent="0.2">
      <c r="A15" s="233"/>
      <c r="B15" s="243" t="s">
        <v>474</v>
      </c>
      <c r="C15" s="240"/>
      <c r="D15" s="240"/>
      <c r="E15" s="240"/>
      <c r="F15" s="234"/>
      <c r="G15" s="234"/>
      <c r="H15" s="234"/>
      <c r="I15" s="234"/>
      <c r="J15" s="234"/>
      <c r="K15" s="234"/>
      <c r="L15" s="234"/>
      <c r="M15" s="234"/>
      <c r="N15" s="234"/>
      <c r="O15" s="234"/>
      <c r="P15" s="235"/>
    </row>
    <row r="16" spans="1:16" x14ac:dyDescent="0.2">
      <c r="A16" s="233"/>
      <c r="B16" s="244" t="s">
        <v>475</v>
      </c>
      <c r="C16" s="240"/>
      <c r="D16" s="240"/>
      <c r="E16" s="240"/>
      <c r="F16" s="234"/>
      <c r="G16" s="234"/>
      <c r="H16" s="234"/>
      <c r="I16" s="234"/>
      <c r="J16" s="234"/>
      <c r="K16" s="234"/>
      <c r="L16" s="234"/>
      <c r="M16" s="234"/>
      <c r="N16" s="234"/>
      <c r="O16" s="234"/>
      <c r="P16" s="235"/>
    </row>
    <row r="17" spans="1:16" x14ac:dyDescent="0.2">
      <c r="A17" s="233"/>
      <c r="B17" s="244" t="s">
        <v>476</v>
      </c>
      <c r="C17" s="240"/>
      <c r="D17" s="240"/>
      <c r="E17" s="240"/>
      <c r="F17" s="234"/>
      <c r="G17" s="234"/>
      <c r="H17" s="234"/>
      <c r="I17" s="234"/>
      <c r="J17" s="234"/>
      <c r="K17" s="234"/>
      <c r="L17" s="234"/>
      <c r="M17" s="234"/>
      <c r="N17" s="234"/>
      <c r="O17" s="234"/>
      <c r="P17" s="235"/>
    </row>
    <row r="18" spans="1:16" x14ac:dyDescent="0.2">
      <c r="A18" s="233"/>
      <c r="B18" s="244" t="s">
        <v>477</v>
      </c>
      <c r="C18" s="240"/>
      <c r="D18" s="240"/>
      <c r="E18" s="240"/>
      <c r="F18" s="234"/>
      <c r="G18" s="234"/>
      <c r="H18" s="234"/>
      <c r="I18" s="234"/>
      <c r="J18" s="234"/>
      <c r="K18" s="234"/>
      <c r="L18" s="234"/>
      <c r="M18" s="234"/>
      <c r="N18" s="234"/>
      <c r="O18" s="234"/>
      <c r="P18" s="235"/>
    </row>
    <row r="19" spans="1:16" x14ac:dyDescent="0.2">
      <c r="A19" s="233"/>
      <c r="B19" s="244" t="s">
        <v>501</v>
      </c>
      <c r="C19" s="240"/>
      <c r="D19" s="240"/>
      <c r="E19" s="240"/>
      <c r="F19" s="234"/>
      <c r="G19" s="234"/>
      <c r="H19" s="234"/>
      <c r="I19" s="234"/>
      <c r="J19" s="234"/>
      <c r="K19" s="234"/>
      <c r="L19" s="234"/>
      <c r="M19" s="234"/>
      <c r="N19" s="234"/>
      <c r="O19" s="234"/>
      <c r="P19" s="235"/>
    </row>
    <row r="20" spans="1:16" ht="14.25" x14ac:dyDescent="0.25">
      <c r="A20" s="233"/>
      <c r="B20" s="244" t="s">
        <v>502</v>
      </c>
      <c r="C20" s="240"/>
      <c r="D20" s="240"/>
      <c r="E20" s="240"/>
      <c r="F20" s="234"/>
      <c r="G20" s="234"/>
      <c r="H20" s="234"/>
      <c r="I20" s="234"/>
      <c r="J20" s="234"/>
      <c r="K20" s="234"/>
      <c r="L20" s="234"/>
      <c r="M20" s="234"/>
      <c r="N20" s="234"/>
      <c r="O20" s="234"/>
      <c r="P20" s="235"/>
    </row>
    <row r="21" spans="1:16" x14ac:dyDescent="0.2">
      <c r="A21" s="233"/>
      <c r="B21" s="244" t="s">
        <v>478</v>
      </c>
      <c r="C21" s="240"/>
      <c r="D21" s="240"/>
      <c r="E21" s="240"/>
      <c r="F21" s="234"/>
      <c r="G21" s="234"/>
      <c r="H21" s="234"/>
      <c r="I21" s="234"/>
      <c r="J21" s="234"/>
      <c r="K21" s="234"/>
      <c r="L21" s="234"/>
      <c r="M21" s="234"/>
      <c r="N21" s="234"/>
      <c r="O21" s="234"/>
      <c r="P21" s="235"/>
    </row>
    <row r="22" spans="1:16" x14ac:dyDescent="0.2">
      <c r="A22" s="233"/>
      <c r="B22" s="244" t="s">
        <v>479</v>
      </c>
      <c r="C22" s="240"/>
      <c r="D22" s="240"/>
      <c r="E22" s="240"/>
      <c r="F22" s="234"/>
      <c r="G22" s="234"/>
      <c r="H22" s="234"/>
      <c r="I22" s="234"/>
      <c r="J22" s="234"/>
      <c r="K22" s="234"/>
      <c r="L22" s="234"/>
      <c r="M22" s="234"/>
      <c r="N22" s="234"/>
      <c r="O22" s="234"/>
      <c r="P22" s="235"/>
    </row>
    <row r="23" spans="1:16" x14ac:dyDescent="0.2">
      <c r="A23" s="233"/>
      <c r="B23" s="244"/>
      <c r="C23" s="240"/>
      <c r="D23" s="240"/>
      <c r="E23" s="240"/>
      <c r="F23" s="234"/>
      <c r="G23" s="234"/>
      <c r="H23" s="234"/>
      <c r="I23" s="234"/>
      <c r="J23" s="234"/>
      <c r="K23" s="234"/>
      <c r="L23" s="234"/>
      <c r="M23" s="234"/>
      <c r="N23" s="234"/>
      <c r="O23" s="234"/>
      <c r="P23" s="235"/>
    </row>
    <row r="24" spans="1:16" ht="20.25" x14ac:dyDescent="0.3">
      <c r="A24" s="233"/>
      <c r="B24" s="239" t="s">
        <v>480</v>
      </c>
      <c r="C24" s="234"/>
      <c r="D24" s="234"/>
      <c r="E24" s="234"/>
      <c r="F24" s="234"/>
      <c r="G24" s="234"/>
      <c r="H24" s="234"/>
      <c r="I24" s="234"/>
      <c r="J24" s="234"/>
      <c r="K24" s="234"/>
      <c r="L24" s="234"/>
      <c r="M24" s="234"/>
      <c r="N24" s="234"/>
      <c r="O24" s="234"/>
      <c r="P24" s="235"/>
    </row>
    <row r="25" spans="1:16" x14ac:dyDescent="0.2">
      <c r="A25" s="233"/>
      <c r="B25" s="245" t="s">
        <v>481</v>
      </c>
      <c r="C25" s="234"/>
      <c r="D25" s="234"/>
      <c r="E25" s="234"/>
      <c r="F25" s="234"/>
      <c r="G25" s="234"/>
      <c r="H25" s="234"/>
      <c r="I25" s="234"/>
      <c r="J25" s="234"/>
      <c r="K25" s="234"/>
      <c r="L25" s="234"/>
      <c r="M25" s="234"/>
      <c r="N25" s="234"/>
      <c r="O25" s="234"/>
      <c r="P25" s="235"/>
    </row>
    <row r="26" spans="1:16" x14ac:dyDescent="0.2">
      <c r="A26" s="233"/>
      <c r="B26" s="234" t="s">
        <v>482</v>
      </c>
      <c r="C26" s="234"/>
      <c r="D26" s="234"/>
      <c r="E26" s="234"/>
      <c r="F26" s="234"/>
      <c r="G26" s="234"/>
      <c r="H26" s="234"/>
      <c r="I26" s="234"/>
      <c r="J26" s="234"/>
      <c r="K26" s="234"/>
      <c r="L26" s="234"/>
      <c r="M26" s="234"/>
      <c r="N26" s="234"/>
      <c r="O26" s="234"/>
      <c r="P26" s="235"/>
    </row>
    <row r="27" spans="1:16" x14ac:dyDescent="0.2">
      <c r="A27" s="233"/>
      <c r="B27" s="234"/>
      <c r="C27" s="234"/>
      <c r="D27" s="234"/>
      <c r="E27" s="234"/>
      <c r="F27" s="234"/>
      <c r="G27" s="234"/>
      <c r="H27" s="234"/>
      <c r="I27" s="234"/>
      <c r="J27" s="234"/>
      <c r="K27" s="234"/>
      <c r="L27" s="234"/>
      <c r="M27" s="234"/>
      <c r="N27" s="234"/>
      <c r="O27" s="234"/>
      <c r="P27" s="235"/>
    </row>
    <row r="28" spans="1:16" x14ac:dyDescent="0.2">
      <c r="A28" s="233"/>
      <c r="B28" s="245" t="s">
        <v>483</v>
      </c>
      <c r="C28" s="234"/>
      <c r="D28" s="234"/>
      <c r="E28" s="234"/>
      <c r="F28" s="234"/>
      <c r="G28" s="234"/>
      <c r="H28" s="234"/>
      <c r="I28" s="234"/>
      <c r="J28" s="234"/>
      <c r="K28" s="234"/>
      <c r="L28" s="234"/>
      <c r="M28" s="234"/>
      <c r="N28" s="234"/>
      <c r="O28" s="234"/>
      <c r="P28" s="235"/>
    </row>
    <row r="29" spans="1:16" x14ac:dyDescent="0.2">
      <c r="A29" s="233"/>
      <c r="B29" s="234"/>
      <c r="C29" s="234"/>
      <c r="D29" s="234"/>
      <c r="E29" s="234"/>
      <c r="F29" s="234"/>
      <c r="G29" s="234"/>
      <c r="H29" s="234"/>
      <c r="I29" s="234"/>
      <c r="J29" s="234"/>
      <c r="K29" s="234"/>
      <c r="L29" s="234"/>
      <c r="M29" s="234"/>
      <c r="N29" s="234"/>
      <c r="O29" s="234"/>
      <c r="P29" s="235"/>
    </row>
    <row r="30" spans="1:16" x14ac:dyDescent="0.2">
      <c r="A30" s="233"/>
      <c r="B30" s="234" t="s">
        <v>484</v>
      </c>
      <c r="C30" s="234"/>
      <c r="D30" s="234"/>
      <c r="E30" s="234"/>
      <c r="F30" s="234"/>
      <c r="G30" s="234"/>
      <c r="H30" s="234"/>
      <c r="I30" s="234"/>
      <c r="J30" s="234"/>
      <c r="K30" s="234"/>
      <c r="L30" s="234"/>
      <c r="M30" s="234"/>
      <c r="N30" s="234"/>
      <c r="O30" s="234"/>
      <c r="P30" s="235"/>
    </row>
    <row r="31" spans="1:16" x14ac:dyDescent="0.2">
      <c r="A31" s="233"/>
      <c r="B31" s="245"/>
      <c r="C31" s="234"/>
      <c r="D31" s="234"/>
      <c r="E31" s="234"/>
      <c r="F31" s="234"/>
      <c r="G31" s="234"/>
      <c r="H31" s="234"/>
      <c r="I31" s="234"/>
      <c r="J31" s="234"/>
      <c r="K31" s="234"/>
      <c r="L31" s="234"/>
      <c r="M31" s="234"/>
      <c r="N31" s="234"/>
      <c r="O31" s="234"/>
      <c r="P31" s="235"/>
    </row>
    <row r="32" spans="1:16" x14ac:dyDescent="0.2">
      <c r="A32" s="233"/>
      <c r="B32" s="245"/>
      <c r="C32" s="234"/>
      <c r="D32" s="234"/>
      <c r="E32" s="234"/>
      <c r="F32" s="234"/>
      <c r="G32" s="234"/>
      <c r="H32" s="234"/>
      <c r="I32" s="234"/>
      <c r="J32" s="234"/>
      <c r="K32" s="234"/>
      <c r="L32" s="234"/>
      <c r="M32" s="234"/>
      <c r="N32" s="234"/>
      <c r="O32" s="234"/>
      <c r="P32" s="235"/>
    </row>
    <row r="33" spans="1:16" ht="13.5" thickBot="1" x14ac:dyDescent="0.25">
      <c r="A33" s="233"/>
      <c r="B33" s="245"/>
      <c r="C33" s="234"/>
      <c r="D33" s="234"/>
      <c r="E33" s="234"/>
      <c r="F33" s="234"/>
      <c r="G33" s="234"/>
      <c r="H33" s="234"/>
      <c r="I33" s="234"/>
      <c r="J33" s="234"/>
      <c r="K33" s="234"/>
      <c r="L33" s="234"/>
      <c r="M33" s="234"/>
      <c r="N33" s="234"/>
      <c r="O33" s="234"/>
      <c r="P33" s="235"/>
    </row>
    <row r="34" spans="1:16" x14ac:dyDescent="0.2">
      <c r="A34" s="233"/>
      <c r="B34" s="338" t="s">
        <v>506</v>
      </c>
      <c r="C34" s="339"/>
      <c r="D34" s="339"/>
      <c r="E34" s="339"/>
      <c r="F34" s="339"/>
      <c r="G34" s="339"/>
      <c r="H34" s="339"/>
      <c r="I34" s="339"/>
      <c r="J34" s="339"/>
      <c r="K34" s="339"/>
      <c r="L34" s="339"/>
      <c r="M34" s="340"/>
      <c r="N34" s="234"/>
      <c r="O34" s="234"/>
      <c r="P34" s="235"/>
    </row>
    <row r="35" spans="1:16" x14ac:dyDescent="0.2">
      <c r="A35" s="233"/>
      <c r="B35" s="341"/>
      <c r="C35" s="342"/>
      <c r="D35" s="342"/>
      <c r="E35" s="342"/>
      <c r="F35" s="342"/>
      <c r="G35" s="342"/>
      <c r="H35" s="342"/>
      <c r="I35" s="342"/>
      <c r="J35" s="342"/>
      <c r="K35" s="342"/>
      <c r="L35" s="342"/>
      <c r="M35" s="343"/>
      <c r="N35" s="234"/>
      <c r="O35" s="234"/>
      <c r="P35" s="235"/>
    </row>
    <row r="36" spans="1:16" x14ac:dyDescent="0.2">
      <c r="A36" s="233"/>
      <c r="B36" s="341"/>
      <c r="C36" s="342"/>
      <c r="D36" s="342"/>
      <c r="E36" s="342"/>
      <c r="F36" s="342"/>
      <c r="G36" s="342"/>
      <c r="H36" s="342"/>
      <c r="I36" s="342"/>
      <c r="J36" s="342"/>
      <c r="K36" s="342"/>
      <c r="L36" s="342"/>
      <c r="M36" s="343"/>
      <c r="N36" s="234"/>
      <c r="O36" s="234"/>
      <c r="P36" s="235"/>
    </row>
    <row r="37" spans="1:16" x14ac:dyDescent="0.2">
      <c r="A37" s="233"/>
      <c r="B37" s="341"/>
      <c r="C37" s="342"/>
      <c r="D37" s="342"/>
      <c r="E37" s="342"/>
      <c r="F37" s="342"/>
      <c r="G37" s="342"/>
      <c r="H37" s="342"/>
      <c r="I37" s="342"/>
      <c r="J37" s="342"/>
      <c r="K37" s="342"/>
      <c r="L37" s="342"/>
      <c r="M37" s="343"/>
      <c r="N37" s="234"/>
      <c r="O37" s="234"/>
      <c r="P37" s="235"/>
    </row>
    <row r="38" spans="1:16" x14ac:dyDescent="0.2">
      <c r="A38" s="233"/>
      <c r="B38" s="341"/>
      <c r="C38" s="342"/>
      <c r="D38" s="342"/>
      <c r="E38" s="342"/>
      <c r="F38" s="342"/>
      <c r="G38" s="342"/>
      <c r="H38" s="342"/>
      <c r="I38" s="342"/>
      <c r="J38" s="342"/>
      <c r="K38" s="342"/>
      <c r="L38" s="342"/>
      <c r="M38" s="343"/>
      <c r="N38" s="234"/>
      <c r="O38" s="234"/>
      <c r="P38" s="235"/>
    </row>
    <row r="39" spans="1:16" x14ac:dyDescent="0.2">
      <c r="A39" s="233"/>
      <c r="B39" s="341"/>
      <c r="C39" s="342"/>
      <c r="D39" s="342"/>
      <c r="E39" s="342"/>
      <c r="F39" s="342"/>
      <c r="G39" s="342"/>
      <c r="H39" s="342"/>
      <c r="I39" s="342"/>
      <c r="J39" s="342"/>
      <c r="K39" s="342"/>
      <c r="L39" s="342"/>
      <c r="M39" s="343"/>
      <c r="N39" s="234"/>
      <c r="O39" s="234"/>
      <c r="P39" s="235"/>
    </row>
    <row r="40" spans="1:16" x14ac:dyDescent="0.2">
      <c r="A40" s="233"/>
      <c r="B40" s="341"/>
      <c r="C40" s="342"/>
      <c r="D40" s="342"/>
      <c r="E40" s="342"/>
      <c r="F40" s="342"/>
      <c r="G40" s="342"/>
      <c r="H40" s="342"/>
      <c r="I40" s="342"/>
      <c r="J40" s="342"/>
      <c r="K40" s="342"/>
      <c r="L40" s="342"/>
      <c r="M40" s="343"/>
      <c r="N40" s="234"/>
      <c r="O40" s="234"/>
      <c r="P40" s="235"/>
    </row>
    <row r="41" spans="1:16" x14ac:dyDescent="0.2">
      <c r="A41" s="233"/>
      <c r="B41" s="341"/>
      <c r="C41" s="342"/>
      <c r="D41" s="342"/>
      <c r="E41" s="342"/>
      <c r="F41" s="342"/>
      <c r="G41" s="342"/>
      <c r="H41" s="342"/>
      <c r="I41" s="342"/>
      <c r="J41" s="342"/>
      <c r="K41" s="342"/>
      <c r="L41" s="342"/>
      <c r="M41" s="343"/>
      <c r="N41" s="234"/>
      <c r="O41" s="234"/>
      <c r="P41" s="235"/>
    </row>
    <row r="42" spans="1:16" x14ac:dyDescent="0.2">
      <c r="A42" s="233"/>
      <c r="B42" s="341"/>
      <c r="C42" s="342"/>
      <c r="D42" s="342"/>
      <c r="E42" s="342"/>
      <c r="F42" s="342"/>
      <c r="G42" s="342"/>
      <c r="H42" s="342"/>
      <c r="I42" s="342"/>
      <c r="J42" s="342"/>
      <c r="K42" s="342"/>
      <c r="L42" s="342"/>
      <c r="M42" s="343"/>
      <c r="N42" s="234"/>
      <c r="O42" s="234"/>
      <c r="P42" s="235"/>
    </row>
    <row r="43" spans="1:16" x14ac:dyDescent="0.2">
      <c r="A43" s="233"/>
      <c r="B43" s="341"/>
      <c r="C43" s="342"/>
      <c r="D43" s="342"/>
      <c r="E43" s="342"/>
      <c r="F43" s="342"/>
      <c r="G43" s="342"/>
      <c r="H43" s="342"/>
      <c r="I43" s="342"/>
      <c r="J43" s="342"/>
      <c r="K43" s="342"/>
      <c r="L43" s="342"/>
      <c r="M43" s="343"/>
      <c r="N43" s="234"/>
      <c r="O43" s="234"/>
      <c r="P43" s="235"/>
    </row>
    <row r="44" spans="1:16" x14ac:dyDescent="0.2">
      <c r="A44" s="233"/>
      <c r="B44" s="341"/>
      <c r="C44" s="342"/>
      <c r="D44" s="342"/>
      <c r="E44" s="342"/>
      <c r="F44" s="342"/>
      <c r="G44" s="342"/>
      <c r="H44" s="342"/>
      <c r="I44" s="342"/>
      <c r="J44" s="342"/>
      <c r="K44" s="342"/>
      <c r="L44" s="342"/>
      <c r="M44" s="343"/>
      <c r="N44" s="234"/>
      <c r="O44" s="234"/>
      <c r="P44" s="235"/>
    </row>
    <row r="45" spans="1:16" x14ac:dyDescent="0.2">
      <c r="A45" s="233"/>
      <c r="B45" s="341"/>
      <c r="C45" s="342"/>
      <c r="D45" s="342"/>
      <c r="E45" s="342"/>
      <c r="F45" s="342"/>
      <c r="G45" s="342"/>
      <c r="H45" s="342"/>
      <c r="I45" s="342"/>
      <c r="J45" s="342"/>
      <c r="K45" s="342"/>
      <c r="L45" s="342"/>
      <c r="M45" s="343"/>
      <c r="N45" s="234"/>
      <c r="O45" s="234"/>
      <c r="P45" s="235"/>
    </row>
    <row r="46" spans="1:16" x14ac:dyDescent="0.2">
      <c r="A46" s="233"/>
      <c r="B46" s="341"/>
      <c r="C46" s="342"/>
      <c r="D46" s="342"/>
      <c r="E46" s="342"/>
      <c r="F46" s="342"/>
      <c r="G46" s="342"/>
      <c r="H46" s="342"/>
      <c r="I46" s="342"/>
      <c r="J46" s="342"/>
      <c r="K46" s="342"/>
      <c r="L46" s="342"/>
      <c r="M46" s="343"/>
      <c r="N46" s="234"/>
      <c r="O46" s="234"/>
      <c r="P46" s="235"/>
    </row>
    <row r="47" spans="1:16" x14ac:dyDescent="0.2">
      <c r="A47" s="233"/>
      <c r="B47" s="341"/>
      <c r="C47" s="342"/>
      <c r="D47" s="342"/>
      <c r="E47" s="342"/>
      <c r="F47" s="342"/>
      <c r="G47" s="342"/>
      <c r="H47" s="342"/>
      <c r="I47" s="342"/>
      <c r="J47" s="342"/>
      <c r="K47" s="342"/>
      <c r="L47" s="342"/>
      <c r="M47" s="343"/>
      <c r="N47" s="234"/>
      <c r="O47" s="234"/>
      <c r="P47" s="235"/>
    </row>
    <row r="48" spans="1:16" x14ac:dyDescent="0.2">
      <c r="A48" s="233"/>
      <c r="B48" s="341"/>
      <c r="C48" s="342"/>
      <c r="D48" s="342"/>
      <c r="E48" s="342"/>
      <c r="F48" s="342"/>
      <c r="G48" s="342"/>
      <c r="H48" s="342"/>
      <c r="I48" s="342"/>
      <c r="J48" s="342"/>
      <c r="K48" s="342"/>
      <c r="L48" s="342"/>
      <c r="M48" s="343"/>
      <c r="N48" s="234"/>
      <c r="O48" s="234"/>
      <c r="P48" s="235"/>
    </row>
    <row r="49" spans="1:16" x14ac:dyDescent="0.2">
      <c r="A49" s="233"/>
      <c r="B49" s="341"/>
      <c r="C49" s="342"/>
      <c r="D49" s="342"/>
      <c r="E49" s="342"/>
      <c r="F49" s="342"/>
      <c r="G49" s="342"/>
      <c r="H49" s="342"/>
      <c r="I49" s="342"/>
      <c r="J49" s="342"/>
      <c r="K49" s="342"/>
      <c r="L49" s="342"/>
      <c r="M49" s="343"/>
      <c r="N49" s="234"/>
      <c r="O49" s="234"/>
      <c r="P49" s="235"/>
    </row>
    <row r="50" spans="1:16" x14ac:dyDescent="0.2">
      <c r="A50" s="233"/>
      <c r="B50" s="341"/>
      <c r="C50" s="342"/>
      <c r="D50" s="342"/>
      <c r="E50" s="342"/>
      <c r="F50" s="342"/>
      <c r="G50" s="342"/>
      <c r="H50" s="342"/>
      <c r="I50" s="342"/>
      <c r="J50" s="342"/>
      <c r="K50" s="342"/>
      <c r="L50" s="342"/>
      <c r="M50" s="343"/>
      <c r="N50" s="234"/>
      <c r="O50" s="234"/>
      <c r="P50" s="235"/>
    </row>
    <row r="51" spans="1:16" x14ac:dyDescent="0.2">
      <c r="A51" s="233"/>
      <c r="B51" s="341"/>
      <c r="C51" s="342"/>
      <c r="D51" s="342"/>
      <c r="E51" s="342"/>
      <c r="F51" s="342"/>
      <c r="G51" s="342"/>
      <c r="H51" s="342"/>
      <c r="I51" s="342"/>
      <c r="J51" s="342"/>
      <c r="K51" s="342"/>
      <c r="L51" s="342"/>
      <c r="M51" s="343"/>
      <c r="N51" s="234"/>
      <c r="O51" s="234"/>
      <c r="P51" s="235"/>
    </row>
    <row r="52" spans="1:16" x14ac:dyDescent="0.2">
      <c r="A52" s="233"/>
      <c r="B52" s="341"/>
      <c r="C52" s="342"/>
      <c r="D52" s="342"/>
      <c r="E52" s="342"/>
      <c r="F52" s="342"/>
      <c r="G52" s="342"/>
      <c r="H52" s="342"/>
      <c r="I52" s="342"/>
      <c r="J52" s="342"/>
      <c r="K52" s="342"/>
      <c r="L52" s="342"/>
      <c r="M52" s="343"/>
      <c r="N52" s="234"/>
      <c r="O52" s="234"/>
      <c r="P52" s="235"/>
    </row>
    <row r="53" spans="1:16" x14ac:dyDescent="0.2">
      <c r="A53" s="233"/>
      <c r="B53" s="341"/>
      <c r="C53" s="342"/>
      <c r="D53" s="342"/>
      <c r="E53" s="342"/>
      <c r="F53" s="342"/>
      <c r="G53" s="342"/>
      <c r="H53" s="342"/>
      <c r="I53" s="342"/>
      <c r="J53" s="342"/>
      <c r="K53" s="342"/>
      <c r="L53" s="342"/>
      <c r="M53" s="343"/>
      <c r="N53" s="234"/>
      <c r="O53" s="234"/>
      <c r="P53" s="235"/>
    </row>
    <row r="54" spans="1:16" x14ac:dyDescent="0.2">
      <c r="A54" s="233"/>
      <c r="B54" s="341"/>
      <c r="C54" s="342"/>
      <c r="D54" s="342"/>
      <c r="E54" s="342"/>
      <c r="F54" s="342"/>
      <c r="G54" s="342"/>
      <c r="H54" s="342"/>
      <c r="I54" s="342"/>
      <c r="J54" s="342"/>
      <c r="K54" s="342"/>
      <c r="L54" s="342"/>
      <c r="M54" s="343"/>
      <c r="N54" s="234"/>
      <c r="O54" s="234"/>
      <c r="P54" s="235"/>
    </row>
    <row r="55" spans="1:16" x14ac:dyDescent="0.2">
      <c r="A55" s="233"/>
      <c r="B55" s="341"/>
      <c r="C55" s="342"/>
      <c r="D55" s="342"/>
      <c r="E55" s="342"/>
      <c r="F55" s="342"/>
      <c r="G55" s="342"/>
      <c r="H55" s="342"/>
      <c r="I55" s="342"/>
      <c r="J55" s="342"/>
      <c r="K55" s="342"/>
      <c r="L55" s="342"/>
      <c r="M55" s="343"/>
      <c r="N55" s="234"/>
      <c r="O55" s="234"/>
      <c r="P55" s="235"/>
    </row>
    <row r="56" spans="1:16" x14ac:dyDescent="0.2">
      <c r="A56" s="233"/>
      <c r="B56" s="341"/>
      <c r="C56" s="342"/>
      <c r="D56" s="342"/>
      <c r="E56" s="342"/>
      <c r="F56" s="342"/>
      <c r="G56" s="342"/>
      <c r="H56" s="342"/>
      <c r="I56" s="342"/>
      <c r="J56" s="342"/>
      <c r="K56" s="342"/>
      <c r="L56" s="342"/>
      <c r="M56" s="343"/>
      <c r="N56" s="234"/>
      <c r="O56" s="234"/>
      <c r="P56" s="235"/>
    </row>
    <row r="57" spans="1:16" x14ac:dyDescent="0.2">
      <c r="A57" s="233"/>
      <c r="B57" s="341"/>
      <c r="C57" s="342"/>
      <c r="D57" s="342"/>
      <c r="E57" s="342"/>
      <c r="F57" s="342"/>
      <c r="G57" s="342"/>
      <c r="H57" s="342"/>
      <c r="I57" s="342"/>
      <c r="J57" s="342"/>
      <c r="K57" s="342"/>
      <c r="L57" s="342"/>
      <c r="M57" s="343"/>
      <c r="N57" s="234"/>
      <c r="O57" s="234"/>
      <c r="P57" s="235"/>
    </row>
    <row r="58" spans="1:16" x14ac:dyDescent="0.2">
      <c r="A58" s="233"/>
      <c r="B58" s="341"/>
      <c r="C58" s="342"/>
      <c r="D58" s="342"/>
      <c r="E58" s="342"/>
      <c r="F58" s="342"/>
      <c r="G58" s="342"/>
      <c r="H58" s="342"/>
      <c r="I58" s="342"/>
      <c r="J58" s="342"/>
      <c r="K58" s="342"/>
      <c r="L58" s="342"/>
      <c r="M58" s="343"/>
      <c r="N58" s="234"/>
      <c r="O58" s="234"/>
      <c r="P58" s="235"/>
    </row>
    <row r="59" spans="1:16" x14ac:dyDescent="0.2">
      <c r="A59" s="233"/>
      <c r="B59" s="341"/>
      <c r="C59" s="342"/>
      <c r="D59" s="342"/>
      <c r="E59" s="342"/>
      <c r="F59" s="342"/>
      <c r="G59" s="342"/>
      <c r="H59" s="342"/>
      <c r="I59" s="342"/>
      <c r="J59" s="342"/>
      <c r="K59" s="342"/>
      <c r="L59" s="342"/>
      <c r="M59" s="343"/>
      <c r="N59" s="234"/>
      <c r="O59" s="234"/>
      <c r="P59" s="235"/>
    </row>
    <row r="60" spans="1:16" x14ac:dyDescent="0.2">
      <c r="A60" s="233"/>
      <c r="B60" s="341"/>
      <c r="C60" s="342"/>
      <c r="D60" s="342"/>
      <c r="E60" s="342"/>
      <c r="F60" s="342"/>
      <c r="G60" s="342"/>
      <c r="H60" s="342"/>
      <c r="I60" s="342"/>
      <c r="J60" s="342"/>
      <c r="K60" s="342"/>
      <c r="L60" s="342"/>
      <c r="M60" s="343"/>
      <c r="N60" s="234"/>
      <c r="O60" s="234"/>
      <c r="P60" s="235"/>
    </row>
    <row r="61" spans="1:16" x14ac:dyDescent="0.2">
      <c r="A61" s="233"/>
      <c r="B61" s="341"/>
      <c r="C61" s="342"/>
      <c r="D61" s="342"/>
      <c r="E61" s="342"/>
      <c r="F61" s="342"/>
      <c r="G61" s="342"/>
      <c r="H61" s="342"/>
      <c r="I61" s="342"/>
      <c r="J61" s="342"/>
      <c r="K61" s="342"/>
      <c r="L61" s="342"/>
      <c r="M61" s="343"/>
      <c r="N61" s="234"/>
      <c r="O61" s="234"/>
      <c r="P61" s="235"/>
    </row>
    <row r="62" spans="1:16" x14ac:dyDescent="0.2">
      <c r="A62" s="233"/>
      <c r="B62" s="341"/>
      <c r="C62" s="342"/>
      <c r="D62" s="342"/>
      <c r="E62" s="342"/>
      <c r="F62" s="342"/>
      <c r="G62" s="342"/>
      <c r="H62" s="342"/>
      <c r="I62" s="342"/>
      <c r="J62" s="342"/>
      <c r="K62" s="342"/>
      <c r="L62" s="342"/>
      <c r="M62" s="343"/>
      <c r="N62" s="234"/>
      <c r="O62" s="234"/>
      <c r="P62" s="235"/>
    </row>
    <row r="63" spans="1:16" x14ac:dyDescent="0.2">
      <c r="A63" s="233"/>
      <c r="B63" s="341"/>
      <c r="C63" s="342"/>
      <c r="D63" s="342"/>
      <c r="E63" s="342"/>
      <c r="F63" s="342"/>
      <c r="G63" s="342"/>
      <c r="H63" s="342"/>
      <c r="I63" s="342"/>
      <c r="J63" s="342"/>
      <c r="K63" s="342"/>
      <c r="L63" s="342"/>
      <c r="M63" s="343"/>
      <c r="N63" s="234"/>
      <c r="O63" s="234"/>
      <c r="P63" s="235"/>
    </row>
    <row r="64" spans="1:16" x14ac:dyDescent="0.2">
      <c r="A64" s="233"/>
      <c r="B64" s="341"/>
      <c r="C64" s="342"/>
      <c r="D64" s="342"/>
      <c r="E64" s="342"/>
      <c r="F64" s="342"/>
      <c r="G64" s="342"/>
      <c r="H64" s="342"/>
      <c r="I64" s="342"/>
      <c r="J64" s="342"/>
      <c r="K64" s="342"/>
      <c r="L64" s="342"/>
      <c r="M64" s="343"/>
      <c r="N64" s="234"/>
      <c r="O64" s="234"/>
      <c r="P64" s="235"/>
    </row>
    <row r="65" spans="1:16" x14ac:dyDescent="0.2">
      <c r="A65" s="233"/>
      <c r="B65" s="341"/>
      <c r="C65" s="342"/>
      <c r="D65" s="342"/>
      <c r="E65" s="342"/>
      <c r="F65" s="342"/>
      <c r="G65" s="342"/>
      <c r="H65" s="342"/>
      <c r="I65" s="342"/>
      <c r="J65" s="342"/>
      <c r="K65" s="342"/>
      <c r="L65" s="342"/>
      <c r="M65" s="343"/>
      <c r="N65" s="234"/>
      <c r="O65" s="234"/>
      <c r="P65" s="235"/>
    </row>
    <row r="66" spans="1:16" x14ac:dyDescent="0.2">
      <c r="A66" s="233"/>
      <c r="B66" s="341"/>
      <c r="C66" s="342"/>
      <c r="D66" s="342"/>
      <c r="E66" s="342"/>
      <c r="F66" s="342"/>
      <c r="G66" s="342"/>
      <c r="H66" s="342"/>
      <c r="I66" s="342"/>
      <c r="J66" s="342"/>
      <c r="K66" s="342"/>
      <c r="L66" s="342"/>
      <c r="M66" s="343"/>
      <c r="N66" s="234"/>
      <c r="O66" s="234"/>
      <c r="P66" s="235"/>
    </row>
    <row r="67" spans="1:16" x14ac:dyDescent="0.2">
      <c r="A67" s="233"/>
      <c r="B67" s="341"/>
      <c r="C67" s="342"/>
      <c r="D67" s="342"/>
      <c r="E67" s="342"/>
      <c r="F67" s="342"/>
      <c r="G67" s="342"/>
      <c r="H67" s="342"/>
      <c r="I67" s="342"/>
      <c r="J67" s="342"/>
      <c r="K67" s="342"/>
      <c r="L67" s="342"/>
      <c r="M67" s="343"/>
      <c r="N67" s="234"/>
      <c r="O67" s="234"/>
      <c r="P67" s="235"/>
    </row>
    <row r="68" spans="1:16" x14ac:dyDescent="0.2">
      <c r="A68" s="233"/>
      <c r="B68" s="341"/>
      <c r="C68" s="342"/>
      <c r="D68" s="342"/>
      <c r="E68" s="342"/>
      <c r="F68" s="342"/>
      <c r="G68" s="342"/>
      <c r="H68" s="342"/>
      <c r="I68" s="342"/>
      <c r="J68" s="342"/>
      <c r="K68" s="342"/>
      <c r="L68" s="342"/>
      <c r="M68" s="343"/>
      <c r="N68" s="234"/>
      <c r="O68" s="234"/>
      <c r="P68" s="235"/>
    </row>
    <row r="69" spans="1:16" x14ac:dyDescent="0.2">
      <c r="A69" s="233"/>
      <c r="B69" s="341"/>
      <c r="C69" s="342"/>
      <c r="D69" s="342"/>
      <c r="E69" s="342"/>
      <c r="F69" s="342"/>
      <c r="G69" s="342"/>
      <c r="H69" s="342"/>
      <c r="I69" s="342"/>
      <c r="J69" s="342"/>
      <c r="K69" s="342"/>
      <c r="L69" s="342"/>
      <c r="M69" s="343"/>
      <c r="N69" s="234"/>
      <c r="O69" s="234"/>
      <c r="P69" s="235"/>
    </row>
    <row r="70" spans="1:16" x14ac:dyDescent="0.2">
      <c r="A70" s="233"/>
      <c r="B70" s="341"/>
      <c r="C70" s="342"/>
      <c r="D70" s="342"/>
      <c r="E70" s="342"/>
      <c r="F70" s="342"/>
      <c r="G70" s="342"/>
      <c r="H70" s="342"/>
      <c r="I70" s="342"/>
      <c r="J70" s="342"/>
      <c r="K70" s="342"/>
      <c r="L70" s="342"/>
      <c r="M70" s="343"/>
      <c r="N70" s="234"/>
      <c r="O70" s="234"/>
      <c r="P70" s="235"/>
    </row>
    <row r="71" spans="1:16" x14ac:dyDescent="0.2">
      <c r="A71" s="233"/>
      <c r="B71" s="341"/>
      <c r="C71" s="342"/>
      <c r="D71" s="342"/>
      <c r="E71" s="342"/>
      <c r="F71" s="342"/>
      <c r="G71" s="342"/>
      <c r="H71" s="342"/>
      <c r="I71" s="342"/>
      <c r="J71" s="342"/>
      <c r="K71" s="342"/>
      <c r="L71" s="342"/>
      <c r="M71" s="343"/>
      <c r="N71" s="234"/>
      <c r="O71" s="234"/>
      <c r="P71" s="235"/>
    </row>
    <row r="72" spans="1:16" x14ac:dyDescent="0.2">
      <c r="A72" s="233"/>
      <c r="B72" s="341"/>
      <c r="C72" s="342"/>
      <c r="D72" s="342"/>
      <c r="E72" s="342"/>
      <c r="F72" s="342"/>
      <c r="G72" s="342"/>
      <c r="H72" s="342"/>
      <c r="I72" s="342"/>
      <c r="J72" s="342"/>
      <c r="K72" s="342"/>
      <c r="L72" s="342"/>
      <c r="M72" s="343"/>
      <c r="N72" s="234"/>
      <c r="O72" s="234"/>
      <c r="P72" s="235"/>
    </row>
    <row r="73" spans="1:16" x14ac:dyDescent="0.2">
      <c r="A73" s="233"/>
      <c r="B73" s="341"/>
      <c r="C73" s="342"/>
      <c r="D73" s="342"/>
      <c r="E73" s="342"/>
      <c r="F73" s="342"/>
      <c r="G73" s="342"/>
      <c r="H73" s="342"/>
      <c r="I73" s="342"/>
      <c r="J73" s="342"/>
      <c r="K73" s="342"/>
      <c r="L73" s="342"/>
      <c r="M73" s="343"/>
      <c r="N73" s="234"/>
      <c r="O73" s="234"/>
      <c r="P73" s="235"/>
    </row>
    <row r="74" spans="1:16" x14ac:dyDescent="0.2">
      <c r="A74" s="233"/>
      <c r="B74" s="341"/>
      <c r="C74" s="342"/>
      <c r="D74" s="342"/>
      <c r="E74" s="342"/>
      <c r="F74" s="342"/>
      <c r="G74" s="342"/>
      <c r="H74" s="342"/>
      <c r="I74" s="342"/>
      <c r="J74" s="342"/>
      <c r="K74" s="342"/>
      <c r="L74" s="342"/>
      <c r="M74" s="343"/>
      <c r="N74" s="234"/>
      <c r="O74" s="234"/>
      <c r="P74" s="235"/>
    </row>
    <row r="75" spans="1:16" x14ac:dyDescent="0.2">
      <c r="A75" s="233"/>
      <c r="B75" s="341"/>
      <c r="C75" s="342"/>
      <c r="D75" s="342"/>
      <c r="E75" s="342"/>
      <c r="F75" s="342"/>
      <c r="G75" s="342"/>
      <c r="H75" s="342"/>
      <c r="I75" s="342"/>
      <c r="J75" s="342"/>
      <c r="K75" s="342"/>
      <c r="L75" s="342"/>
      <c r="M75" s="343"/>
      <c r="N75" s="234"/>
      <c r="O75" s="234"/>
      <c r="P75" s="235"/>
    </row>
    <row r="76" spans="1:16" x14ac:dyDescent="0.2">
      <c r="A76" s="233"/>
      <c r="B76" s="341"/>
      <c r="C76" s="342"/>
      <c r="D76" s="342"/>
      <c r="E76" s="342"/>
      <c r="F76" s="342"/>
      <c r="G76" s="342"/>
      <c r="H76" s="342"/>
      <c r="I76" s="342"/>
      <c r="J76" s="342"/>
      <c r="K76" s="342"/>
      <c r="L76" s="342"/>
      <c r="M76" s="343"/>
      <c r="N76" s="234"/>
      <c r="O76" s="234"/>
      <c r="P76" s="235"/>
    </row>
    <row r="77" spans="1:16" x14ac:dyDescent="0.2">
      <c r="A77" s="233"/>
      <c r="B77" s="341"/>
      <c r="C77" s="342"/>
      <c r="D77" s="342"/>
      <c r="E77" s="342"/>
      <c r="F77" s="342"/>
      <c r="G77" s="342"/>
      <c r="H77" s="342"/>
      <c r="I77" s="342"/>
      <c r="J77" s="342"/>
      <c r="K77" s="342"/>
      <c r="L77" s="342"/>
      <c r="M77" s="343"/>
      <c r="N77" s="234"/>
      <c r="O77" s="234"/>
      <c r="P77" s="235"/>
    </row>
    <row r="78" spans="1:16" x14ac:dyDescent="0.2">
      <c r="A78" s="233"/>
      <c r="B78" s="341"/>
      <c r="C78" s="342"/>
      <c r="D78" s="342"/>
      <c r="E78" s="342"/>
      <c r="F78" s="342"/>
      <c r="G78" s="342"/>
      <c r="H78" s="342"/>
      <c r="I78" s="342"/>
      <c r="J78" s="342"/>
      <c r="K78" s="342"/>
      <c r="L78" s="342"/>
      <c r="M78" s="343"/>
      <c r="N78" s="234"/>
      <c r="O78" s="234"/>
      <c r="P78" s="235"/>
    </row>
    <row r="79" spans="1:16" x14ac:dyDescent="0.2">
      <c r="A79" s="233"/>
      <c r="B79" s="341"/>
      <c r="C79" s="342"/>
      <c r="D79" s="342"/>
      <c r="E79" s="342"/>
      <c r="F79" s="342"/>
      <c r="G79" s="342"/>
      <c r="H79" s="342"/>
      <c r="I79" s="342"/>
      <c r="J79" s="342"/>
      <c r="K79" s="342"/>
      <c r="L79" s="342"/>
      <c r="M79" s="343"/>
      <c r="N79" s="234"/>
      <c r="O79" s="234"/>
      <c r="P79" s="235"/>
    </row>
    <row r="80" spans="1:16" x14ac:dyDescent="0.2">
      <c r="A80" s="233"/>
      <c r="B80" s="341"/>
      <c r="C80" s="342"/>
      <c r="D80" s="342"/>
      <c r="E80" s="342"/>
      <c r="F80" s="342"/>
      <c r="G80" s="342"/>
      <c r="H80" s="342"/>
      <c r="I80" s="342"/>
      <c r="J80" s="342"/>
      <c r="K80" s="342"/>
      <c r="L80" s="342"/>
      <c r="M80" s="343"/>
      <c r="N80" s="234"/>
      <c r="O80" s="234"/>
      <c r="P80" s="235"/>
    </row>
    <row r="81" spans="1:16" x14ac:dyDescent="0.2">
      <c r="A81" s="233"/>
      <c r="B81" s="341"/>
      <c r="C81" s="342"/>
      <c r="D81" s="342"/>
      <c r="E81" s="342"/>
      <c r="F81" s="342"/>
      <c r="G81" s="342"/>
      <c r="H81" s="342"/>
      <c r="I81" s="342"/>
      <c r="J81" s="342"/>
      <c r="K81" s="342"/>
      <c r="L81" s="342"/>
      <c r="M81" s="343"/>
      <c r="N81" s="234"/>
      <c r="O81" s="234"/>
      <c r="P81" s="235"/>
    </row>
    <row r="82" spans="1:16" x14ac:dyDescent="0.2">
      <c r="A82" s="233"/>
      <c r="B82" s="341"/>
      <c r="C82" s="342"/>
      <c r="D82" s="342"/>
      <c r="E82" s="342"/>
      <c r="F82" s="342"/>
      <c r="G82" s="342"/>
      <c r="H82" s="342"/>
      <c r="I82" s="342"/>
      <c r="J82" s="342"/>
      <c r="K82" s="342"/>
      <c r="L82" s="342"/>
      <c r="M82" s="343"/>
      <c r="N82" s="234"/>
      <c r="O82" s="234"/>
      <c r="P82" s="235"/>
    </row>
    <row r="83" spans="1:16" x14ac:dyDescent="0.2">
      <c r="A83" s="233"/>
      <c r="B83" s="341"/>
      <c r="C83" s="342"/>
      <c r="D83" s="342"/>
      <c r="E83" s="342"/>
      <c r="F83" s="342"/>
      <c r="G83" s="342"/>
      <c r="H83" s="342"/>
      <c r="I83" s="342"/>
      <c r="J83" s="342"/>
      <c r="K83" s="342"/>
      <c r="L83" s="342"/>
      <c r="M83" s="343"/>
      <c r="N83" s="234"/>
      <c r="O83" s="234"/>
      <c r="P83" s="235"/>
    </row>
    <row r="84" spans="1:16" x14ac:dyDescent="0.2">
      <c r="A84" s="233"/>
      <c r="B84" s="341"/>
      <c r="C84" s="342"/>
      <c r="D84" s="342"/>
      <c r="E84" s="342"/>
      <c r="F84" s="342"/>
      <c r="G84" s="342"/>
      <c r="H84" s="342"/>
      <c r="I84" s="342"/>
      <c r="J84" s="342"/>
      <c r="K84" s="342"/>
      <c r="L84" s="342"/>
      <c r="M84" s="343"/>
      <c r="N84" s="234"/>
      <c r="O84" s="234"/>
      <c r="P84" s="235"/>
    </row>
    <row r="85" spans="1:16" x14ac:dyDescent="0.2">
      <c r="A85" s="233"/>
      <c r="B85" s="341"/>
      <c r="C85" s="342"/>
      <c r="D85" s="342"/>
      <c r="E85" s="342"/>
      <c r="F85" s="342"/>
      <c r="G85" s="342"/>
      <c r="H85" s="342"/>
      <c r="I85" s="342"/>
      <c r="J85" s="342"/>
      <c r="K85" s="342"/>
      <c r="L85" s="342"/>
      <c r="M85" s="343"/>
      <c r="N85" s="234"/>
      <c r="O85" s="234"/>
      <c r="P85" s="235"/>
    </row>
    <row r="86" spans="1:16" x14ac:dyDescent="0.2">
      <c r="A86" s="233"/>
      <c r="B86" s="341"/>
      <c r="C86" s="342"/>
      <c r="D86" s="342"/>
      <c r="E86" s="342"/>
      <c r="F86" s="342"/>
      <c r="G86" s="342"/>
      <c r="H86" s="342"/>
      <c r="I86" s="342"/>
      <c r="J86" s="342"/>
      <c r="K86" s="342"/>
      <c r="L86" s="342"/>
      <c r="M86" s="343"/>
      <c r="N86" s="234"/>
      <c r="O86" s="234"/>
      <c r="P86" s="235"/>
    </row>
    <row r="87" spans="1:16" x14ac:dyDescent="0.2">
      <c r="A87" s="233"/>
      <c r="B87" s="341"/>
      <c r="C87" s="342"/>
      <c r="D87" s="342"/>
      <c r="E87" s="342"/>
      <c r="F87" s="342"/>
      <c r="G87" s="342"/>
      <c r="H87" s="342"/>
      <c r="I87" s="342"/>
      <c r="J87" s="342"/>
      <c r="K87" s="342"/>
      <c r="L87" s="342"/>
      <c r="M87" s="343"/>
      <c r="N87" s="234"/>
      <c r="O87" s="234"/>
      <c r="P87" s="235"/>
    </row>
    <row r="88" spans="1:16" ht="4.5" customHeight="1" x14ac:dyDescent="0.2">
      <c r="A88" s="233"/>
      <c r="B88" s="341"/>
      <c r="C88" s="342"/>
      <c r="D88" s="342"/>
      <c r="E88" s="342"/>
      <c r="F88" s="342"/>
      <c r="G88" s="342"/>
      <c r="H88" s="342"/>
      <c r="I88" s="342"/>
      <c r="J88" s="342"/>
      <c r="K88" s="342"/>
      <c r="L88" s="342"/>
      <c r="M88" s="343"/>
      <c r="N88" s="234"/>
      <c r="O88" s="234"/>
      <c r="P88" s="235"/>
    </row>
    <row r="89" spans="1:16" hidden="1" x14ac:dyDescent="0.2">
      <c r="A89" s="233"/>
      <c r="B89" s="341"/>
      <c r="C89" s="342"/>
      <c r="D89" s="342"/>
      <c r="E89" s="342"/>
      <c r="F89" s="342"/>
      <c r="G89" s="342"/>
      <c r="H89" s="342"/>
      <c r="I89" s="342"/>
      <c r="J89" s="342"/>
      <c r="K89" s="342"/>
      <c r="L89" s="342"/>
      <c r="M89" s="343"/>
      <c r="N89" s="234"/>
      <c r="O89" s="234"/>
      <c r="P89" s="235"/>
    </row>
    <row r="90" spans="1:16" hidden="1" x14ac:dyDescent="0.2">
      <c r="A90" s="233"/>
      <c r="B90" s="341"/>
      <c r="C90" s="342"/>
      <c r="D90" s="342"/>
      <c r="E90" s="342"/>
      <c r="F90" s="342"/>
      <c r="G90" s="342"/>
      <c r="H90" s="342"/>
      <c r="I90" s="342"/>
      <c r="J90" s="342"/>
      <c r="K90" s="342"/>
      <c r="L90" s="342"/>
      <c r="M90" s="343"/>
      <c r="N90" s="234"/>
      <c r="O90" s="234"/>
      <c r="P90" s="235"/>
    </row>
    <row r="91" spans="1:16" hidden="1" x14ac:dyDescent="0.2">
      <c r="A91" s="233"/>
      <c r="B91" s="341"/>
      <c r="C91" s="342"/>
      <c r="D91" s="342"/>
      <c r="E91" s="342"/>
      <c r="F91" s="342"/>
      <c r="G91" s="342"/>
      <c r="H91" s="342"/>
      <c r="I91" s="342"/>
      <c r="J91" s="342"/>
      <c r="K91" s="342"/>
      <c r="L91" s="342"/>
      <c r="M91" s="343"/>
      <c r="N91" s="234"/>
      <c r="O91" s="234"/>
      <c r="P91" s="235"/>
    </row>
    <row r="92" spans="1:16" hidden="1" x14ac:dyDescent="0.2">
      <c r="A92" s="233"/>
      <c r="B92" s="341"/>
      <c r="C92" s="342"/>
      <c r="D92" s="342"/>
      <c r="E92" s="342"/>
      <c r="F92" s="342"/>
      <c r="G92" s="342"/>
      <c r="H92" s="342"/>
      <c r="I92" s="342"/>
      <c r="J92" s="342"/>
      <c r="K92" s="342"/>
      <c r="L92" s="342"/>
      <c r="M92" s="343"/>
      <c r="N92" s="234"/>
      <c r="O92" s="234"/>
      <c r="P92" s="235"/>
    </row>
    <row r="93" spans="1:16" x14ac:dyDescent="0.2">
      <c r="A93" s="233"/>
      <c r="B93" s="341"/>
      <c r="C93" s="342"/>
      <c r="D93" s="342"/>
      <c r="E93" s="342"/>
      <c r="F93" s="342"/>
      <c r="G93" s="342"/>
      <c r="H93" s="342"/>
      <c r="I93" s="342"/>
      <c r="J93" s="342"/>
      <c r="K93" s="342"/>
      <c r="L93" s="342"/>
      <c r="M93" s="343"/>
      <c r="N93" s="234"/>
      <c r="O93" s="234"/>
      <c r="P93" s="235"/>
    </row>
    <row r="94" spans="1:16" x14ac:dyDescent="0.2">
      <c r="A94" s="233"/>
      <c r="B94" s="341"/>
      <c r="C94" s="342"/>
      <c r="D94" s="342"/>
      <c r="E94" s="342"/>
      <c r="F94" s="342"/>
      <c r="G94" s="342"/>
      <c r="H94" s="342"/>
      <c r="I94" s="342"/>
      <c r="J94" s="342"/>
      <c r="K94" s="342"/>
      <c r="L94" s="342"/>
      <c r="M94" s="343"/>
      <c r="N94" s="234"/>
      <c r="O94" s="234"/>
      <c r="P94" s="235"/>
    </row>
    <row r="95" spans="1:16" x14ac:dyDescent="0.2">
      <c r="A95" s="233"/>
      <c r="B95" s="341"/>
      <c r="C95" s="342"/>
      <c r="D95" s="342"/>
      <c r="E95" s="342"/>
      <c r="F95" s="342"/>
      <c r="G95" s="342"/>
      <c r="H95" s="342"/>
      <c r="I95" s="342"/>
      <c r="J95" s="342"/>
      <c r="K95" s="342"/>
      <c r="L95" s="342"/>
      <c r="M95" s="343"/>
      <c r="N95" s="234"/>
      <c r="O95" s="234"/>
      <c r="P95" s="235"/>
    </row>
    <row r="96" spans="1:16" ht="13.5" thickBot="1" x14ac:dyDescent="0.25">
      <c r="A96" s="233"/>
      <c r="B96" s="344"/>
      <c r="C96" s="345"/>
      <c r="D96" s="345"/>
      <c r="E96" s="345"/>
      <c r="F96" s="345"/>
      <c r="G96" s="345"/>
      <c r="H96" s="345"/>
      <c r="I96" s="345"/>
      <c r="J96" s="345"/>
      <c r="K96" s="345"/>
      <c r="L96" s="345"/>
      <c r="M96" s="346"/>
      <c r="N96" s="234"/>
      <c r="O96" s="234"/>
      <c r="P96" s="235"/>
    </row>
    <row r="97" spans="1:16" x14ac:dyDescent="0.2">
      <c r="A97" s="233"/>
      <c r="B97" s="234"/>
      <c r="C97" s="234"/>
      <c r="D97" s="234"/>
      <c r="E97" s="234"/>
      <c r="F97" s="234"/>
      <c r="G97" s="234"/>
      <c r="H97" s="234"/>
      <c r="I97" s="234"/>
      <c r="J97" s="234"/>
      <c r="K97" s="234"/>
      <c r="L97" s="234"/>
      <c r="M97" s="234"/>
      <c r="N97" s="234"/>
      <c r="O97" s="234"/>
      <c r="P97" s="235"/>
    </row>
    <row r="98" spans="1:16" ht="13.5" thickBot="1" x14ac:dyDescent="0.25">
      <c r="A98" s="246"/>
      <c r="B98" s="247"/>
      <c r="C98" s="247"/>
      <c r="D98" s="247"/>
      <c r="E98" s="247"/>
      <c r="F98" s="247"/>
      <c r="G98" s="247"/>
      <c r="H98" s="247"/>
      <c r="I98" s="247"/>
      <c r="J98" s="247"/>
      <c r="K98" s="247"/>
      <c r="L98" s="247"/>
      <c r="M98" s="247"/>
      <c r="N98" s="247"/>
      <c r="O98" s="247"/>
      <c r="P98" s="248"/>
    </row>
    <row r="99" spans="1:16" ht="13.5" thickTop="1" x14ac:dyDescent="0.2"/>
  </sheetData>
  <sheetProtection password="C649" sheet="1" objects="1" scenarios="1"/>
  <mergeCells count="1">
    <mergeCell ref="B34:M9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192"/>
  <sheetViews>
    <sheetView tabSelected="1" topLeftCell="A47" zoomScale="145" zoomScaleNormal="145" zoomScaleSheetLayoutView="100" workbookViewId="0">
      <selection activeCell="F37" sqref="F37"/>
    </sheetView>
  </sheetViews>
  <sheetFormatPr defaultRowHeight="12.75" x14ac:dyDescent="0.2"/>
  <cols>
    <col min="1" max="1" width="0.42578125" customWidth="1"/>
    <col min="2" max="2" width="29.7109375" customWidth="1"/>
    <col min="3" max="3" width="12.28515625" customWidth="1"/>
    <col min="4" max="4" width="16.5703125" customWidth="1"/>
    <col min="5" max="5" width="23.85546875" customWidth="1"/>
    <col min="6" max="6" width="15.7109375" customWidth="1"/>
    <col min="7" max="7" width="5.5703125" style="249" customWidth="1"/>
    <col min="8" max="8" width="9.5703125" customWidth="1"/>
    <col min="9" max="9" width="12.85546875" customWidth="1"/>
    <col min="11" max="11" width="10.28515625" customWidth="1"/>
    <col min="12" max="12" width="11.28515625" customWidth="1"/>
    <col min="13" max="13" width="9.85546875" customWidth="1"/>
    <col min="14" max="18" width="0" hidden="1" customWidth="1"/>
    <col min="19" max="19" width="8.85546875" hidden="1" customWidth="1"/>
    <col min="20" max="20" width="2.7109375" hidden="1" customWidth="1"/>
    <col min="21" max="21" width="3" hidden="1" customWidth="1"/>
    <col min="22" max="22" width="1.140625" hidden="1" customWidth="1"/>
    <col min="23" max="23" width="3.7109375" hidden="1" customWidth="1"/>
    <col min="24" max="38" width="8.85546875" hidden="1" customWidth="1"/>
    <col min="39" max="39" width="7.7109375" customWidth="1"/>
    <col min="40" max="40" width="6.7109375" customWidth="1"/>
    <col min="41" max="41" width="9.28515625" customWidth="1"/>
    <col min="42" max="42" width="12.28515625" customWidth="1"/>
    <col min="43" max="43" width="12" customWidth="1"/>
    <col min="44" max="44" width="13.42578125" customWidth="1"/>
    <col min="45" max="45" width="14.5703125" customWidth="1"/>
    <col min="46" max="46" width="14.7109375" customWidth="1"/>
    <col min="47" max="47" width="11.28515625" customWidth="1"/>
    <col min="48" max="48" width="13" customWidth="1"/>
    <col min="49" max="49" width="13.42578125" customWidth="1"/>
    <col min="50" max="50" width="14.7109375" customWidth="1"/>
    <col min="51" max="51" width="14.140625" customWidth="1"/>
    <col min="52" max="52" width="12.85546875" customWidth="1"/>
    <col min="53" max="53" width="12.5703125" customWidth="1"/>
    <col min="54" max="54" width="9.85546875" customWidth="1"/>
    <col min="55" max="55" width="12.7109375" customWidth="1"/>
    <col min="56" max="56" width="13.7109375" customWidth="1"/>
    <col min="57" max="57" width="13.85546875" customWidth="1"/>
    <col min="58" max="59" width="14.42578125" customWidth="1"/>
    <col min="60" max="60" width="15.42578125" customWidth="1"/>
    <col min="61" max="61" width="15.28515625" customWidth="1"/>
    <col min="62" max="62" width="15.710937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28515625" customWidth="1"/>
    <col min="71" max="71" width="4.7109375" customWidth="1"/>
  </cols>
  <sheetData>
    <row r="1" spans="1:40" s="105" customFormat="1" ht="60.75" customHeight="1" x14ac:dyDescent="0.2">
      <c r="A1" s="348" t="s">
        <v>488</v>
      </c>
      <c r="B1" s="349"/>
      <c r="C1" s="349"/>
      <c r="D1" s="349"/>
      <c r="E1" s="349"/>
      <c r="F1" s="349"/>
      <c r="G1" s="349"/>
      <c r="H1" s="349"/>
      <c r="I1" s="349"/>
      <c r="J1" s="349"/>
      <c r="K1" s="349"/>
      <c r="L1" s="349"/>
      <c r="M1" s="349"/>
      <c r="N1" s="36"/>
      <c r="O1" s="36"/>
      <c r="P1" s="36"/>
      <c r="Q1" s="36"/>
      <c r="R1" s="34"/>
      <c r="S1" s="35"/>
      <c r="T1" s="33"/>
      <c r="U1" s="33"/>
      <c r="V1" s="33"/>
      <c r="W1" s="33"/>
      <c r="X1" s="33"/>
      <c r="Y1" s="33"/>
      <c r="Z1" s="33"/>
      <c r="AA1" s="33"/>
      <c r="AB1" s="33"/>
      <c r="AC1" s="33"/>
      <c r="AD1" s="33"/>
      <c r="AE1" s="33"/>
      <c r="AF1" s="33"/>
      <c r="AG1" s="33"/>
      <c r="AH1" s="33"/>
      <c r="AI1" s="33"/>
      <c r="AJ1" s="33"/>
      <c r="AK1" s="33"/>
      <c r="AL1" s="33"/>
      <c r="AM1" s="250"/>
    </row>
    <row r="2" spans="1:40" s="291" customFormat="1" ht="15.75" x14ac:dyDescent="0.2">
      <c r="A2" s="27"/>
      <c r="B2" s="32" t="s">
        <v>98</v>
      </c>
      <c r="C2" s="27"/>
      <c r="D2" s="27"/>
      <c r="E2" s="27"/>
      <c r="F2" s="290"/>
      <c r="G2" s="290"/>
      <c r="H2" s="27"/>
      <c r="I2" s="27"/>
      <c r="J2" s="27"/>
      <c r="K2" s="27"/>
      <c r="L2" s="347"/>
      <c r="M2" s="34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1:40" s="291" customFormat="1" x14ac:dyDescent="0.2">
      <c r="A3" s="27"/>
      <c r="B3" s="27"/>
      <c r="C3" s="27"/>
      <c r="D3" s="27"/>
      <c r="E3" s="27"/>
      <c r="F3" s="27"/>
      <c r="G3" s="290"/>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40" s="291" customFormat="1" x14ac:dyDescent="0.2">
      <c r="A4" s="27"/>
      <c r="B4" s="27"/>
      <c r="C4" s="27"/>
      <c r="D4" s="27"/>
      <c r="E4" s="27"/>
      <c r="F4" s="27"/>
      <c r="G4" s="290"/>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40" s="291" customFormat="1" x14ac:dyDescent="0.2">
      <c r="A5" s="27"/>
      <c r="B5" s="27"/>
      <c r="C5" s="27"/>
      <c r="D5" s="27"/>
      <c r="E5" s="27"/>
      <c r="F5" s="27"/>
      <c r="G5" s="290"/>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40" s="291" customFormat="1" x14ac:dyDescent="0.2">
      <c r="A6" s="27"/>
      <c r="B6" s="27"/>
      <c r="C6" s="27"/>
      <c r="D6" s="27"/>
      <c r="E6" s="27"/>
      <c r="F6" s="27"/>
      <c r="G6" s="290"/>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row>
    <row r="7" spans="1:40" s="291" customFormat="1" x14ac:dyDescent="0.2">
      <c r="A7" s="27"/>
      <c r="B7" s="27"/>
      <c r="C7" s="27"/>
      <c r="D7" s="27"/>
      <c r="E7" s="27"/>
      <c r="F7" s="27"/>
      <c r="G7" s="290"/>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row>
    <row r="8" spans="1:40" s="291" customFormat="1" x14ac:dyDescent="0.2">
      <c r="A8" s="27"/>
      <c r="B8" s="27"/>
      <c r="C8" s="27"/>
      <c r="D8" s="27"/>
      <c r="E8" s="27"/>
      <c r="F8" s="27"/>
      <c r="G8" s="290"/>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40" s="291" customFormat="1" ht="18" customHeight="1" x14ac:dyDescent="0.2">
      <c r="A9" s="27"/>
      <c r="B9" s="292"/>
      <c r="C9" s="174"/>
      <c r="D9" s="293" t="s">
        <v>382</v>
      </c>
      <c r="E9" s="100"/>
      <c r="F9" s="27"/>
      <c r="G9" s="290"/>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row>
    <row r="10" spans="1:40" s="291" customFormat="1" ht="17.45" customHeight="1" x14ac:dyDescent="0.2">
      <c r="A10" s="27"/>
      <c r="B10" s="294"/>
      <c r="C10" s="295"/>
      <c r="D10" s="296" t="s">
        <v>97</v>
      </c>
      <c r="E10" s="297"/>
      <c r="F10" s="27"/>
      <c r="G10" s="290"/>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row>
    <row r="11" spans="1:40" s="291" customFormat="1" ht="21" customHeight="1" x14ac:dyDescent="0.2">
      <c r="A11" s="27"/>
      <c r="B11" s="294"/>
      <c r="C11" s="298"/>
      <c r="D11" s="350" t="s">
        <v>442</v>
      </c>
      <c r="E11" s="351"/>
      <c r="F11" s="27"/>
      <c r="G11" s="290"/>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1:40" s="291" customFormat="1" ht="23.1" customHeight="1" x14ac:dyDescent="0.2">
      <c r="A12" s="27"/>
      <c r="B12" s="294"/>
      <c r="C12" s="299"/>
      <c r="D12" s="350"/>
      <c r="E12" s="351"/>
      <c r="F12" s="27"/>
      <c r="G12" s="290"/>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40" s="291" customFormat="1" ht="15" customHeight="1" thickBot="1" x14ac:dyDescent="0.25">
      <c r="A13" s="27"/>
      <c r="B13" s="27"/>
      <c r="C13" s="27"/>
      <c r="D13" s="27"/>
      <c r="E13" s="27"/>
      <c r="F13" s="27"/>
      <c r="G13" s="290"/>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40" ht="15" customHeight="1" x14ac:dyDescent="0.25">
      <c r="A14" s="19"/>
      <c r="B14" s="260" t="s">
        <v>138</v>
      </c>
      <c r="C14" s="81"/>
      <c r="D14" s="81"/>
      <c r="E14" s="226" t="s">
        <v>454</v>
      </c>
      <c r="F14" s="166">
        <v>36</v>
      </c>
      <c r="G14" s="150" t="s">
        <v>89</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106"/>
      <c r="AN14">
        <f>VINMIN</f>
        <v>36</v>
      </c>
    </row>
    <row r="15" spans="1:40" ht="15" customHeight="1" x14ac:dyDescent="0.25">
      <c r="A15" s="19"/>
      <c r="B15" s="201"/>
      <c r="C15" s="21"/>
      <c r="D15" s="21"/>
      <c r="E15" s="51" t="s">
        <v>455</v>
      </c>
      <c r="F15" s="167">
        <v>48</v>
      </c>
      <c r="G15" s="151" t="s">
        <v>89</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93"/>
      <c r="AN15">
        <f>VINNOM</f>
        <v>48</v>
      </c>
    </row>
    <row r="16" spans="1:40" ht="15" customHeight="1" x14ac:dyDescent="0.2">
      <c r="A16" s="19"/>
      <c r="B16" s="194"/>
      <c r="C16" s="21"/>
      <c r="D16" s="21"/>
      <c r="E16" s="51" t="s">
        <v>456</v>
      </c>
      <c r="F16" s="167">
        <v>60.5</v>
      </c>
      <c r="G16" s="151" t="s">
        <v>89</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93"/>
      <c r="AN16">
        <f>VINMAX</f>
        <v>60.5</v>
      </c>
    </row>
    <row r="17" spans="1:40" ht="15" customHeight="1" x14ac:dyDescent="0.2">
      <c r="A17" s="19"/>
      <c r="B17" s="83"/>
      <c r="C17" s="21"/>
      <c r="D17" s="21"/>
      <c r="E17" s="51" t="s">
        <v>111</v>
      </c>
      <c r="F17" s="167">
        <v>20</v>
      </c>
      <c r="G17" s="151" t="s">
        <v>27</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93"/>
    </row>
    <row r="18" spans="1:40" ht="15" customHeight="1" x14ac:dyDescent="0.2">
      <c r="A18" s="19"/>
      <c r="B18" s="83"/>
      <c r="C18" s="21"/>
      <c r="D18" s="21"/>
      <c r="E18" s="51" t="s">
        <v>242</v>
      </c>
      <c r="F18" s="167">
        <v>350</v>
      </c>
      <c r="G18" s="152" t="s">
        <v>86</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93"/>
    </row>
    <row r="19" spans="1:40" ht="15" customHeight="1" thickBot="1" x14ac:dyDescent="0.25">
      <c r="A19" s="19"/>
      <c r="B19" s="84"/>
      <c r="C19" s="85"/>
      <c r="D19" s="85"/>
      <c r="E19" s="86" t="s">
        <v>110</v>
      </c>
      <c r="F19" s="168">
        <v>75</v>
      </c>
      <c r="G19" s="153" t="s">
        <v>115</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93"/>
    </row>
    <row r="20" spans="1:40" ht="15" customHeight="1" x14ac:dyDescent="0.25">
      <c r="A20" s="19"/>
      <c r="B20" s="260" t="s">
        <v>240</v>
      </c>
      <c r="C20" s="251"/>
      <c r="D20" s="81"/>
      <c r="E20" s="226" t="s">
        <v>275</v>
      </c>
      <c r="F20" s="189">
        <f>'Device Parmaters'!D8</f>
        <v>50</v>
      </c>
      <c r="G20" s="215" t="s">
        <v>159</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93"/>
      <c r="AN20" s="28"/>
    </row>
    <row r="21" spans="1:40" ht="15" customHeight="1" x14ac:dyDescent="0.2">
      <c r="A21" s="19"/>
      <c r="B21" s="87"/>
      <c r="C21" s="21"/>
      <c r="D21" s="21"/>
      <c r="E21" s="51" t="s">
        <v>277</v>
      </c>
      <c r="F21" s="49">
        <f>Equations!F20</f>
        <v>2.1782178217821784</v>
      </c>
      <c r="G21" s="151" t="s">
        <v>88</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93"/>
      <c r="AN21" s="28"/>
    </row>
    <row r="22" spans="1:40" ht="15" hidden="1" customHeight="1" x14ac:dyDescent="0.2">
      <c r="A22" s="19"/>
      <c r="B22" s="83"/>
      <c r="C22" s="21"/>
      <c r="D22" s="21"/>
      <c r="E22" s="147" t="s">
        <v>189</v>
      </c>
      <c r="F22" s="169" t="s">
        <v>184</v>
      </c>
      <c r="G22" s="15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93"/>
      <c r="AN22" s="28" t="s">
        <v>186</v>
      </c>
    </row>
    <row r="23" spans="1:40" ht="15" customHeight="1" x14ac:dyDescent="0.2">
      <c r="A23" s="19"/>
      <c r="B23" s="83"/>
      <c r="C23" s="21"/>
      <c r="D23" s="21"/>
      <c r="E23" s="51" t="s">
        <v>103</v>
      </c>
      <c r="F23" s="170">
        <v>2</v>
      </c>
      <c r="G23" s="151" t="s">
        <v>88</v>
      </c>
      <c r="H23" s="107"/>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93"/>
      <c r="AN23" s="28" t="s">
        <v>184</v>
      </c>
    </row>
    <row r="24" spans="1:40" ht="15" hidden="1" customHeight="1" x14ac:dyDescent="0.2">
      <c r="A24" s="19"/>
      <c r="B24" s="83"/>
      <c r="C24" s="21"/>
      <c r="D24" s="21"/>
      <c r="E24" s="51" t="s">
        <v>192</v>
      </c>
      <c r="F24" s="92" t="str">
        <f>Equations!F21</f>
        <v>NA</v>
      </c>
      <c r="G24" s="154" t="s">
        <v>90</v>
      </c>
      <c r="H24" s="183"/>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93"/>
    </row>
    <row r="25" spans="1:40" ht="15" hidden="1" customHeight="1" x14ac:dyDescent="0.2">
      <c r="A25" s="19"/>
      <c r="B25" s="83"/>
      <c r="C25" s="21"/>
      <c r="D25" s="21"/>
      <c r="E25" s="51" t="s">
        <v>193</v>
      </c>
      <c r="F25" s="91" t="str">
        <f>Equations!F22</f>
        <v>NA</v>
      </c>
      <c r="G25" s="154" t="s">
        <v>90</v>
      </c>
      <c r="H25" s="183"/>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93"/>
    </row>
    <row r="26" spans="1:40" ht="15" hidden="1" customHeight="1" x14ac:dyDescent="0.2">
      <c r="A26" s="19"/>
      <c r="B26" s="83"/>
      <c r="C26" s="21"/>
      <c r="D26" s="21"/>
      <c r="E26" s="51" t="s">
        <v>194</v>
      </c>
      <c r="F26" s="169">
        <v>10</v>
      </c>
      <c r="G26" s="154" t="s">
        <v>90</v>
      </c>
      <c r="H26" s="183"/>
      <c r="I26" s="21"/>
      <c r="J26" s="107" t="s">
        <v>336</v>
      </c>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93"/>
      <c r="AN26" t="b">
        <f>AND(F22="No")</f>
        <v>1</v>
      </c>
    </row>
    <row r="27" spans="1:40" ht="15" hidden="1" customHeight="1" x14ac:dyDescent="0.2">
      <c r="A27" s="19"/>
      <c r="B27" s="83"/>
      <c r="C27" s="21"/>
      <c r="D27" s="21"/>
      <c r="E27" s="51" t="s">
        <v>195</v>
      </c>
      <c r="F27" s="169">
        <v>3.04</v>
      </c>
      <c r="G27" s="154" t="s">
        <v>90</v>
      </c>
      <c r="H27" s="183"/>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93"/>
    </row>
    <row r="28" spans="1:40" ht="15" hidden="1" customHeight="1" x14ac:dyDescent="0.2">
      <c r="A28" s="19"/>
      <c r="B28" s="83"/>
      <c r="C28" s="21"/>
      <c r="D28" s="21"/>
      <c r="E28" s="51" t="s">
        <v>276</v>
      </c>
      <c r="F28" s="91">
        <f>RsEFF</f>
        <v>2</v>
      </c>
      <c r="G28" s="151" t="s">
        <v>88</v>
      </c>
      <c r="H28" s="183"/>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93"/>
    </row>
    <row r="29" spans="1:40" ht="15" customHeight="1" x14ac:dyDescent="0.2">
      <c r="A29" s="19"/>
      <c r="B29" s="194"/>
      <c r="C29" s="21"/>
      <c r="D29" s="101"/>
      <c r="E29" s="102" t="s">
        <v>94</v>
      </c>
      <c r="F29" s="50">
        <f>CLMIN</f>
        <v>22</v>
      </c>
      <c r="G29" s="151" t="s">
        <v>27</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93"/>
    </row>
    <row r="30" spans="1:40" ht="15" customHeight="1" x14ac:dyDescent="0.2">
      <c r="A30" s="19"/>
      <c r="B30" s="194"/>
      <c r="C30" s="21"/>
      <c r="D30" s="103"/>
      <c r="E30" s="104" t="s">
        <v>95</v>
      </c>
      <c r="F30" s="50">
        <f>CLNOM</f>
        <v>25</v>
      </c>
      <c r="G30" s="151" t="s">
        <v>27</v>
      </c>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93"/>
    </row>
    <row r="31" spans="1:40" ht="15" customHeight="1" x14ac:dyDescent="0.2">
      <c r="A31" s="19"/>
      <c r="B31" s="194"/>
      <c r="C31" s="21"/>
      <c r="D31" s="122"/>
      <c r="E31" s="123" t="s">
        <v>96</v>
      </c>
      <c r="F31" s="50">
        <f>CLMAX</f>
        <v>28</v>
      </c>
      <c r="G31" s="151" t="s">
        <v>27</v>
      </c>
      <c r="H31" s="21"/>
      <c r="I31" s="9"/>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93"/>
      <c r="AN31" s="28" t="s">
        <v>254</v>
      </c>
    </row>
    <row r="32" spans="1:40" ht="15" customHeight="1" x14ac:dyDescent="0.2">
      <c r="A32" s="19"/>
      <c r="B32" s="83"/>
      <c r="C32" s="21"/>
      <c r="D32" s="21"/>
      <c r="E32" s="51" t="s">
        <v>104</v>
      </c>
      <c r="F32" s="39">
        <f>Equations!F27/1000</f>
        <v>1.5680000000000001</v>
      </c>
      <c r="G32" s="151" t="s">
        <v>90</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93"/>
      <c r="AN32" s="28" t="s">
        <v>255</v>
      </c>
    </row>
    <row r="33" spans="1:41" ht="15" customHeight="1" x14ac:dyDescent="0.2">
      <c r="A33" s="19"/>
      <c r="B33" s="83"/>
      <c r="C33" s="21"/>
      <c r="D33" s="21"/>
      <c r="E33" s="51" t="s">
        <v>253</v>
      </c>
      <c r="F33" s="281" t="s">
        <v>254</v>
      </c>
      <c r="G33" s="151"/>
      <c r="H33" s="259" t="s">
        <v>278</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93"/>
      <c r="AN33" s="28" t="s">
        <v>444</v>
      </c>
    </row>
    <row r="34" spans="1:41" ht="15" customHeight="1" thickBot="1" x14ac:dyDescent="0.25">
      <c r="A34" s="19"/>
      <c r="B34" s="84"/>
      <c r="C34" s="85"/>
      <c r="D34" s="85"/>
      <c r="E34" s="227" t="s">
        <v>241</v>
      </c>
      <c r="F34" s="337" t="s">
        <v>444</v>
      </c>
      <c r="G34" s="153"/>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97"/>
      <c r="AN34" s="28"/>
    </row>
    <row r="35" spans="1:41" ht="15" x14ac:dyDescent="0.25">
      <c r="A35" s="19"/>
      <c r="B35" s="260" t="s">
        <v>112</v>
      </c>
      <c r="C35" s="81"/>
      <c r="D35" s="81"/>
      <c r="E35" s="88" t="s">
        <v>493</v>
      </c>
      <c r="F35" s="282" t="s">
        <v>508</v>
      </c>
      <c r="G35" s="155"/>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106"/>
    </row>
    <row r="36" spans="1:41" ht="15.75" x14ac:dyDescent="0.3">
      <c r="A36" s="19"/>
      <c r="B36" s="83"/>
      <c r="C36" s="21"/>
      <c r="D36" s="21"/>
      <c r="E36" s="31" t="s">
        <v>272</v>
      </c>
      <c r="F36" s="336">
        <v>30</v>
      </c>
      <c r="G36" s="151" t="s">
        <v>116</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93"/>
      <c r="AN36">
        <f>((((TJMAX-TAMB)/ThetaJA)/(CLMAX^2))*1000)*NUMFETS^2</f>
        <v>17.006802721088437</v>
      </c>
      <c r="AO36">
        <f>((TJMAX-TAMB)/ThetaJA)</f>
        <v>3.3333333333333335</v>
      </c>
    </row>
    <row r="37" spans="1:41" x14ac:dyDescent="0.2">
      <c r="A37" s="19"/>
      <c r="B37" s="83"/>
      <c r="C37" s="21"/>
      <c r="D37" s="21"/>
      <c r="E37" s="31" t="s">
        <v>113</v>
      </c>
      <c r="F37" s="170">
        <v>2</v>
      </c>
      <c r="G37" s="151" t="s">
        <v>114</v>
      </c>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93"/>
      <c r="AN37" s="23" t="s">
        <v>273</v>
      </c>
    </row>
    <row r="38" spans="1:41" ht="15.75" x14ac:dyDescent="0.3">
      <c r="A38" s="19"/>
      <c r="B38" s="194"/>
      <c r="C38" s="21"/>
      <c r="D38" s="21"/>
      <c r="E38" s="31" t="s">
        <v>280</v>
      </c>
      <c r="F38" s="170">
        <v>7</v>
      </c>
      <c r="G38" s="151" t="s">
        <v>88</v>
      </c>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93"/>
      <c r="AN38" s="28">
        <f>F38</f>
        <v>7</v>
      </c>
    </row>
    <row r="39" spans="1:41" ht="14.25" x14ac:dyDescent="0.2">
      <c r="A39" s="19"/>
      <c r="B39" s="194"/>
      <c r="C39" s="21"/>
      <c r="D39" s="21"/>
      <c r="E39" s="31" t="s">
        <v>117</v>
      </c>
      <c r="F39" s="170">
        <v>175</v>
      </c>
      <c r="G39" s="151" t="s">
        <v>176</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93"/>
      <c r="AN39" s="28">
        <f t="shared" ref="AN39:AN44" si="0">F39</f>
        <v>175</v>
      </c>
    </row>
    <row r="40" spans="1:41" x14ac:dyDescent="0.2">
      <c r="A40" s="19"/>
      <c r="B40" s="194"/>
      <c r="C40" s="21"/>
      <c r="D40" s="21"/>
      <c r="E40" s="213" t="s">
        <v>485</v>
      </c>
      <c r="F40" s="170">
        <v>100</v>
      </c>
      <c r="G40" s="151" t="s">
        <v>27</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93"/>
      <c r="AN40" s="28">
        <f t="shared" si="0"/>
        <v>100</v>
      </c>
    </row>
    <row r="41" spans="1:41" x14ac:dyDescent="0.2">
      <c r="A41" s="19"/>
      <c r="B41" s="194"/>
      <c r="C41" s="21"/>
      <c r="D41" s="21"/>
      <c r="E41" s="213" t="s">
        <v>457</v>
      </c>
      <c r="F41" s="170">
        <v>30</v>
      </c>
      <c r="G41" s="151" t="s">
        <v>27</v>
      </c>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93"/>
      <c r="AN41" s="28">
        <f t="shared" si="0"/>
        <v>30</v>
      </c>
    </row>
    <row r="42" spans="1:41" x14ac:dyDescent="0.2">
      <c r="A42" s="19"/>
      <c r="B42" s="194"/>
      <c r="C42" s="21"/>
      <c r="D42" s="21"/>
      <c r="E42" s="213" t="s">
        <v>458</v>
      </c>
      <c r="F42" s="170">
        <v>6.5</v>
      </c>
      <c r="G42" s="151" t="s">
        <v>27</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93"/>
      <c r="AN42" s="28">
        <f t="shared" si="0"/>
        <v>6.5</v>
      </c>
    </row>
    <row r="43" spans="1:41" x14ac:dyDescent="0.2">
      <c r="A43" s="19"/>
      <c r="B43" s="194"/>
      <c r="C43" s="21"/>
      <c r="D43" s="21"/>
      <c r="E43" s="213" t="s">
        <v>459</v>
      </c>
      <c r="F43" s="169">
        <v>2</v>
      </c>
      <c r="G43" s="151" t="s">
        <v>27</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93"/>
      <c r="AN43" s="28">
        <f t="shared" si="0"/>
        <v>2</v>
      </c>
    </row>
    <row r="44" spans="1:41" x14ac:dyDescent="0.2">
      <c r="A44" s="19"/>
      <c r="B44" s="194"/>
      <c r="C44" s="21"/>
      <c r="D44" s="21"/>
      <c r="E44" s="213" t="s">
        <v>460</v>
      </c>
      <c r="F44" s="170">
        <v>1.5</v>
      </c>
      <c r="G44" s="151" t="s">
        <v>27</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93"/>
      <c r="AN44" s="28">
        <f t="shared" si="0"/>
        <v>1.5</v>
      </c>
    </row>
    <row r="45" spans="1:41" ht="15" customHeight="1" x14ac:dyDescent="0.25">
      <c r="A45" s="19"/>
      <c r="B45" s="82"/>
      <c r="C45" s="21"/>
      <c r="D45" s="21"/>
      <c r="E45" s="31" t="s">
        <v>340</v>
      </c>
      <c r="F45" s="143">
        <f>(IOUTMAX/NUMFETS)^2*RDSON/1000</f>
        <v>0.7</v>
      </c>
      <c r="G45" s="151" t="s">
        <v>90</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93"/>
    </row>
    <row r="46" spans="1:41" ht="15" customHeight="1" x14ac:dyDescent="0.3">
      <c r="A46" s="19"/>
      <c r="B46" s="82"/>
      <c r="C46" s="21"/>
      <c r="D46" s="21"/>
      <c r="E46" s="31" t="s">
        <v>279</v>
      </c>
      <c r="F46" s="143">
        <f>TAMB+(FETPDISS*ThetaJA)</f>
        <v>96</v>
      </c>
      <c r="G46" s="151" t="s">
        <v>115</v>
      </c>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93"/>
    </row>
    <row r="47" spans="1:41" ht="15" customHeight="1" x14ac:dyDescent="0.25">
      <c r="A47" s="19"/>
      <c r="B47" s="82"/>
      <c r="C47" s="21"/>
      <c r="D47" s="21"/>
      <c r="E47" s="51" t="s">
        <v>492</v>
      </c>
      <c r="F47" s="143">
        <f>Equations!F38</f>
        <v>151.25</v>
      </c>
      <c r="G47" s="151" t="s">
        <v>90</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93"/>
    </row>
    <row r="48" spans="1:41" ht="15" customHeight="1" x14ac:dyDescent="0.25">
      <c r="A48" s="19"/>
      <c r="B48" s="82"/>
      <c r="C48" s="21"/>
      <c r="D48" s="21"/>
      <c r="E48" s="51" t="s">
        <v>296</v>
      </c>
      <c r="F48" s="171">
        <v>152</v>
      </c>
      <c r="G48" s="151" t="s">
        <v>90</v>
      </c>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93"/>
    </row>
    <row r="49" spans="1:40" ht="15" customHeight="1" x14ac:dyDescent="0.25">
      <c r="A49" s="19"/>
      <c r="B49" s="201"/>
      <c r="C49" s="21"/>
      <c r="D49" s="21"/>
      <c r="E49" s="51" t="s">
        <v>297</v>
      </c>
      <c r="F49" s="121">
        <f>Equations!F40</f>
        <v>43.167999999999999</v>
      </c>
      <c r="G49" s="156" t="s">
        <v>87</v>
      </c>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93"/>
    </row>
    <row r="50" spans="1:40" ht="15" customHeight="1" x14ac:dyDescent="0.25">
      <c r="A50" s="19"/>
      <c r="B50" s="82"/>
      <c r="C50" s="21"/>
      <c r="D50" s="21"/>
      <c r="E50" s="51" t="s">
        <v>300</v>
      </c>
      <c r="F50" s="170">
        <v>44</v>
      </c>
      <c r="G50" s="156" t="s">
        <v>87</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93"/>
    </row>
    <row r="51" spans="1:40" ht="15" customHeight="1" thickBot="1" x14ac:dyDescent="0.25">
      <c r="A51" s="19"/>
      <c r="B51" s="83"/>
      <c r="C51" s="21"/>
      <c r="D51" s="21"/>
      <c r="E51" s="51" t="s">
        <v>303</v>
      </c>
      <c r="F51" s="121">
        <f>Equations!F42</f>
        <v>154.92957746478874</v>
      </c>
      <c r="G51" s="151" t="s">
        <v>90</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93"/>
    </row>
    <row r="52" spans="1:40" ht="15" x14ac:dyDescent="0.25">
      <c r="A52" s="19"/>
      <c r="B52" s="260" t="s">
        <v>123</v>
      </c>
      <c r="C52" s="81"/>
      <c r="D52" s="81"/>
      <c r="E52" s="228" t="s">
        <v>453</v>
      </c>
      <c r="F52" s="172">
        <v>1</v>
      </c>
      <c r="G52" s="155" t="s">
        <v>89</v>
      </c>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106"/>
      <c r="AN52" s="28"/>
    </row>
    <row r="53" spans="1:40" x14ac:dyDescent="0.2">
      <c r="A53" s="19"/>
      <c r="B53" s="89"/>
      <c r="C53" s="21"/>
      <c r="D53" s="21"/>
      <c r="E53" s="31" t="s">
        <v>124</v>
      </c>
      <c r="F53" s="170" t="s">
        <v>126</v>
      </c>
      <c r="G53" s="152"/>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93"/>
      <c r="AN53" s="28"/>
    </row>
    <row r="54" spans="1:40" x14ac:dyDescent="0.2">
      <c r="A54" s="19"/>
      <c r="B54" s="83"/>
      <c r="C54" s="21"/>
      <c r="D54" s="21"/>
      <c r="E54" s="31" t="s">
        <v>125</v>
      </c>
      <c r="F54" s="170">
        <v>6</v>
      </c>
      <c r="G54" s="152" t="str">
        <f>IF(F53="Constant Current","A","Ohms")</f>
        <v>A</v>
      </c>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93"/>
      <c r="AN54" t="s">
        <v>126</v>
      </c>
    </row>
    <row r="55" spans="1:40" hidden="1" x14ac:dyDescent="0.2">
      <c r="A55" s="19"/>
      <c r="B55" s="83"/>
      <c r="C55" s="21"/>
      <c r="D55" s="21"/>
      <c r="E55" s="51" t="s">
        <v>185</v>
      </c>
      <c r="F55" s="169" t="s">
        <v>184</v>
      </c>
      <c r="G55" s="152"/>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93"/>
      <c r="AN55" t="s">
        <v>127</v>
      </c>
    </row>
    <row r="56" spans="1:40" x14ac:dyDescent="0.2">
      <c r="A56" s="19"/>
      <c r="B56" s="83"/>
      <c r="C56" s="21"/>
      <c r="D56" s="21"/>
      <c r="E56" s="213" t="s">
        <v>462</v>
      </c>
      <c r="F56" s="44">
        <f>Start_up!M2</f>
        <v>4.1473474587477623</v>
      </c>
      <c r="G56" s="151" t="s">
        <v>8</v>
      </c>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93"/>
      <c r="AN56" s="28"/>
    </row>
    <row r="57" spans="1:40" x14ac:dyDescent="0.2">
      <c r="A57" s="19"/>
      <c r="B57" s="194"/>
      <c r="C57" s="21"/>
      <c r="D57" s="21"/>
      <c r="E57" s="213" t="s">
        <v>325</v>
      </c>
      <c r="F57" s="139">
        <f>Start_up!O2</f>
        <v>1</v>
      </c>
      <c r="G57" s="15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93"/>
      <c r="AN57" s="28"/>
    </row>
    <row r="58" spans="1:40" ht="13.15" customHeight="1" x14ac:dyDescent="0.2">
      <c r="A58" s="19"/>
      <c r="B58" s="194"/>
      <c r="C58" s="21"/>
      <c r="D58" s="99"/>
      <c r="E58" s="147" t="s">
        <v>319</v>
      </c>
      <c r="F58" s="44">
        <f>Equations!F55</f>
        <v>6.2210211881216431</v>
      </c>
      <c r="G58" s="152" t="s">
        <v>8</v>
      </c>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93"/>
    </row>
    <row r="59" spans="1:40" ht="12.6" customHeight="1" x14ac:dyDescent="0.2">
      <c r="A59" s="19"/>
      <c r="B59" s="194"/>
      <c r="C59" s="21"/>
      <c r="D59" s="99"/>
      <c r="E59" s="148" t="s">
        <v>323</v>
      </c>
      <c r="F59" s="44">
        <f>Equations!F56</f>
        <v>132.19670024758491</v>
      </c>
      <c r="G59" s="151" t="s">
        <v>109</v>
      </c>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93"/>
    </row>
    <row r="60" spans="1:40" ht="15" customHeight="1" x14ac:dyDescent="0.2">
      <c r="A60" s="19"/>
      <c r="B60" s="194"/>
      <c r="C60" s="21"/>
      <c r="D60" s="99"/>
      <c r="E60" s="148" t="s">
        <v>326</v>
      </c>
      <c r="F60" s="170">
        <v>220</v>
      </c>
      <c r="G60" s="151" t="s">
        <v>109</v>
      </c>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93"/>
    </row>
    <row r="61" spans="1:40" ht="15" customHeight="1" x14ac:dyDescent="0.2">
      <c r="A61" s="19"/>
      <c r="B61" s="194"/>
      <c r="C61" s="21"/>
      <c r="D61" s="99"/>
      <c r="E61" s="148" t="s">
        <v>379</v>
      </c>
      <c r="F61" s="283">
        <f>Equations!F58</f>
        <v>10.352941176470589</v>
      </c>
      <c r="G61" s="151" t="s">
        <v>8</v>
      </c>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93"/>
    </row>
    <row r="62" spans="1:40" ht="15" customHeight="1" x14ac:dyDescent="0.2">
      <c r="A62" s="19"/>
      <c r="B62" s="194"/>
      <c r="C62" s="21"/>
      <c r="D62" s="99"/>
      <c r="E62" s="148" t="s">
        <v>334</v>
      </c>
      <c r="F62" s="283">
        <f>Equations!F59</f>
        <v>1.3132860948016212</v>
      </c>
      <c r="G62" s="15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93"/>
    </row>
    <row r="63" spans="1:40" ht="15" hidden="1" customHeight="1" x14ac:dyDescent="0.2">
      <c r="A63" s="19"/>
      <c r="B63" s="194"/>
      <c r="C63" s="21"/>
      <c r="D63" s="99"/>
      <c r="E63" s="148" t="s">
        <v>384</v>
      </c>
      <c r="F63" s="284" t="s">
        <v>184</v>
      </c>
      <c r="G63" s="15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93"/>
    </row>
    <row r="64" spans="1:40" ht="15" hidden="1" customHeight="1" x14ac:dyDescent="0.2">
      <c r="A64" s="19"/>
      <c r="B64" s="194"/>
      <c r="C64" s="21"/>
      <c r="D64" s="99"/>
      <c r="E64" s="148" t="s">
        <v>391</v>
      </c>
      <c r="F64" s="283">
        <f>dv_dt_recommendations!J28</f>
        <v>13.662394164676858</v>
      </c>
      <c r="G64" s="151" t="s">
        <v>343</v>
      </c>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93"/>
    </row>
    <row r="65" spans="1:39" ht="15" hidden="1" customHeight="1" x14ac:dyDescent="0.2">
      <c r="A65" s="19"/>
      <c r="B65" s="194"/>
      <c r="C65" s="21"/>
      <c r="D65" s="99"/>
      <c r="E65" s="148" t="s">
        <v>392</v>
      </c>
      <c r="F65" s="283">
        <f>dv_dt_recommendations!J29</f>
        <v>5.2699401826768279E-2</v>
      </c>
      <c r="G65" s="151" t="s">
        <v>343</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93"/>
    </row>
    <row r="66" spans="1:39" ht="15" hidden="1" customHeight="1" x14ac:dyDescent="0.2">
      <c r="A66" s="19"/>
      <c r="B66" s="194"/>
      <c r="C66" s="21"/>
      <c r="D66" s="99"/>
      <c r="E66" s="29" t="s">
        <v>376</v>
      </c>
      <c r="F66" s="285">
        <v>0.22</v>
      </c>
      <c r="G66" s="151" t="s">
        <v>343</v>
      </c>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93"/>
    </row>
    <row r="67" spans="1:39" ht="15" hidden="1" customHeight="1" x14ac:dyDescent="0.2">
      <c r="A67" s="19"/>
      <c r="B67" s="194"/>
      <c r="C67" s="21"/>
      <c r="D67" s="99"/>
      <c r="E67" s="29" t="s">
        <v>366</v>
      </c>
      <c r="F67" s="283">
        <f>Equations!F62</f>
        <v>236.36363636363637</v>
      </c>
      <c r="G67" s="149" t="s">
        <v>109</v>
      </c>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93"/>
    </row>
    <row r="68" spans="1:39" ht="15" hidden="1" customHeight="1" x14ac:dyDescent="0.2">
      <c r="A68" s="19"/>
      <c r="B68" s="194"/>
      <c r="C68" s="21"/>
      <c r="D68" s="99"/>
      <c r="E68" s="29" t="s">
        <v>367</v>
      </c>
      <c r="F68" s="285">
        <v>100</v>
      </c>
      <c r="G68" s="151" t="s">
        <v>109</v>
      </c>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93"/>
    </row>
    <row r="69" spans="1:39" ht="15" hidden="1" customHeight="1" x14ac:dyDescent="0.2">
      <c r="A69" s="19"/>
      <c r="B69" s="194"/>
      <c r="C69" s="21"/>
      <c r="D69" s="99"/>
      <c r="E69" s="29" t="s">
        <v>377</v>
      </c>
      <c r="F69" s="283">
        <f>Equations!F64</f>
        <v>0.52</v>
      </c>
      <c r="G69" s="151" t="s">
        <v>343</v>
      </c>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93"/>
    </row>
    <row r="70" spans="1:39" ht="16.899999999999999" hidden="1" customHeight="1" x14ac:dyDescent="0.2">
      <c r="A70" s="19"/>
      <c r="B70" s="194"/>
      <c r="C70" s="21"/>
      <c r="D70" s="99"/>
      <c r="E70" s="29" t="s">
        <v>372</v>
      </c>
      <c r="F70" s="283">
        <f>Equations!F71</f>
        <v>3.0619194765939768</v>
      </c>
      <c r="G70" s="15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93"/>
    </row>
    <row r="71" spans="1:39" ht="16.899999999999999" hidden="1" customHeight="1" x14ac:dyDescent="0.2">
      <c r="A71" s="19"/>
      <c r="B71" s="194"/>
      <c r="C71" s="21"/>
      <c r="D71" s="99"/>
      <c r="E71" s="29" t="s">
        <v>369</v>
      </c>
      <c r="F71" s="285">
        <v>1</v>
      </c>
      <c r="G71" s="151" t="s">
        <v>8</v>
      </c>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93"/>
    </row>
    <row r="72" spans="1:39" ht="16.899999999999999" hidden="1" customHeight="1" x14ac:dyDescent="0.2">
      <c r="A72" s="19"/>
      <c r="B72" s="194"/>
      <c r="C72" s="21"/>
      <c r="D72" s="99"/>
      <c r="E72" s="29" t="s">
        <v>370</v>
      </c>
      <c r="F72" s="283">
        <f>Equations!F76</f>
        <v>21.25</v>
      </c>
      <c r="G72" s="151" t="s">
        <v>109</v>
      </c>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93"/>
    </row>
    <row r="73" spans="1:39" ht="16.899999999999999" hidden="1" customHeight="1" x14ac:dyDescent="0.3">
      <c r="A73" s="19"/>
      <c r="B73" s="194"/>
      <c r="C73" s="21"/>
      <c r="D73" s="99"/>
      <c r="E73" s="162" t="s">
        <v>443</v>
      </c>
      <c r="F73" s="285">
        <v>50</v>
      </c>
      <c r="G73" s="151" t="s">
        <v>109</v>
      </c>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93"/>
    </row>
    <row r="74" spans="1:39" ht="15" hidden="1" customHeight="1" x14ac:dyDescent="0.2">
      <c r="A74" s="19"/>
      <c r="B74" s="194"/>
      <c r="C74" s="21"/>
      <c r="D74" s="99"/>
      <c r="E74" s="148" t="s">
        <v>375</v>
      </c>
      <c r="F74" s="283">
        <f>Equations!F78</f>
        <v>2.3529411764705883</v>
      </c>
      <c r="G74" s="151" t="s">
        <v>8</v>
      </c>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98" t="s">
        <v>274</v>
      </c>
    </row>
    <row r="75" spans="1:39" ht="15" hidden="1" customHeight="1" x14ac:dyDescent="0.2">
      <c r="A75" s="19"/>
      <c r="B75" s="194"/>
      <c r="C75" s="21"/>
      <c r="D75" s="99"/>
      <c r="E75" s="148" t="s">
        <v>380</v>
      </c>
      <c r="F75" s="283">
        <f>Equations!F80</f>
        <v>1.3132860948016212</v>
      </c>
      <c r="G75" s="152"/>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98"/>
    </row>
    <row r="76" spans="1:39" ht="14.45" customHeight="1" x14ac:dyDescent="0.2">
      <c r="A76" s="19"/>
      <c r="B76" s="194"/>
      <c r="C76" s="21"/>
      <c r="D76" s="99"/>
      <c r="E76" s="147" t="s">
        <v>188</v>
      </c>
      <c r="F76" s="286">
        <f>Equations!F107</f>
        <v>146.66666666666666</v>
      </c>
      <c r="G76" s="152" t="s">
        <v>8</v>
      </c>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93"/>
    </row>
    <row r="77" spans="1:39" ht="15" customHeight="1" x14ac:dyDescent="0.2">
      <c r="A77" s="19"/>
      <c r="B77" s="194"/>
      <c r="C77" s="21"/>
      <c r="D77" s="99"/>
      <c r="E77" s="147" t="s">
        <v>93</v>
      </c>
      <c r="F77" s="287">
        <f>Equations!F110</f>
        <v>2069.4235294117652</v>
      </c>
      <c r="G77" s="151" t="s">
        <v>8</v>
      </c>
      <c r="H77" s="107"/>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93"/>
    </row>
    <row r="78" spans="1:39" ht="15" customHeight="1" x14ac:dyDescent="0.2">
      <c r="A78" s="19"/>
      <c r="B78" s="194"/>
      <c r="C78" s="21"/>
      <c r="D78" s="99"/>
      <c r="E78" s="147"/>
      <c r="F78" s="256"/>
      <c r="G78" s="158"/>
      <c r="H78" s="107"/>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93"/>
    </row>
    <row r="79" spans="1:39" ht="15" customHeight="1" x14ac:dyDescent="0.2">
      <c r="A79" s="19"/>
      <c r="B79" s="194"/>
      <c r="C79" s="21"/>
      <c r="D79" s="99"/>
      <c r="E79" s="147"/>
      <c r="F79" s="255"/>
      <c r="G79" s="158"/>
      <c r="H79" s="107"/>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93"/>
    </row>
    <row r="80" spans="1:39" ht="15" customHeight="1" x14ac:dyDescent="0.2">
      <c r="A80" s="19"/>
      <c r="B80" s="194"/>
      <c r="C80" s="21"/>
      <c r="D80" s="99"/>
      <c r="E80" s="147"/>
      <c r="F80" s="255"/>
      <c r="G80" s="158"/>
      <c r="H80" s="107"/>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93"/>
    </row>
    <row r="81" spans="1:39" ht="15" customHeight="1" x14ac:dyDescent="0.2">
      <c r="A81" s="19"/>
      <c r="B81" s="194"/>
      <c r="C81" s="21"/>
      <c r="D81" s="99"/>
      <c r="E81" s="147"/>
      <c r="F81" s="255"/>
      <c r="G81" s="158"/>
      <c r="H81" s="107"/>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93"/>
    </row>
    <row r="82" spans="1:39" ht="15" customHeight="1" x14ac:dyDescent="0.2">
      <c r="A82" s="19"/>
      <c r="B82" s="194"/>
      <c r="C82" s="21"/>
      <c r="D82" s="99"/>
      <c r="E82" s="147"/>
      <c r="F82" s="255"/>
      <c r="G82" s="158"/>
      <c r="H82" s="107"/>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93"/>
    </row>
    <row r="83" spans="1:39" ht="15" customHeight="1" x14ac:dyDescent="0.2">
      <c r="A83" s="19"/>
      <c r="B83" s="194"/>
      <c r="C83" s="21"/>
      <c r="D83" s="99"/>
      <c r="E83" s="147"/>
      <c r="F83" s="255"/>
      <c r="G83" s="158"/>
      <c r="H83" s="107"/>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93"/>
    </row>
    <row r="84" spans="1:39" ht="15" customHeight="1" x14ac:dyDescent="0.2">
      <c r="A84" s="19"/>
      <c r="B84" s="194"/>
      <c r="C84" s="21"/>
      <c r="D84" s="99"/>
      <c r="E84" s="147"/>
      <c r="F84" s="255"/>
      <c r="G84" s="158"/>
      <c r="H84" s="107"/>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93"/>
    </row>
    <row r="85" spans="1:39" ht="15" customHeight="1" x14ac:dyDescent="0.2">
      <c r="A85" s="19"/>
      <c r="B85" s="194"/>
      <c r="C85" s="21"/>
      <c r="D85" s="99"/>
      <c r="E85" s="147"/>
      <c r="F85" s="255"/>
      <c r="G85" s="158"/>
      <c r="H85" s="107"/>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93"/>
    </row>
    <row r="86" spans="1:39" ht="15" customHeight="1" x14ac:dyDescent="0.2">
      <c r="A86" s="19"/>
      <c r="B86" s="194"/>
      <c r="C86" s="21"/>
      <c r="D86" s="99"/>
      <c r="E86" s="147"/>
      <c r="F86" s="255"/>
      <c r="G86" s="158"/>
      <c r="H86" s="107"/>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93"/>
    </row>
    <row r="87" spans="1:39" ht="15" customHeight="1" x14ac:dyDescent="0.2">
      <c r="A87" s="19"/>
      <c r="B87" s="194"/>
      <c r="C87" s="21"/>
      <c r="D87" s="99"/>
      <c r="E87" s="147"/>
      <c r="F87" s="255"/>
      <c r="G87" s="158"/>
      <c r="H87" s="107"/>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93"/>
    </row>
    <row r="88" spans="1:39" ht="15" customHeight="1" x14ac:dyDescent="0.2">
      <c r="A88" s="19"/>
      <c r="B88" s="194"/>
      <c r="C88" s="21"/>
      <c r="D88" s="99"/>
      <c r="E88" s="147"/>
      <c r="F88" s="255"/>
      <c r="G88" s="158"/>
      <c r="H88" s="107"/>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93"/>
    </row>
    <row r="89" spans="1:39" ht="15" customHeight="1" x14ac:dyDescent="0.2">
      <c r="A89" s="19"/>
      <c r="B89" s="194"/>
      <c r="C89" s="21"/>
      <c r="D89" s="99"/>
      <c r="E89" s="147"/>
      <c r="F89" s="255"/>
      <c r="G89" s="158"/>
      <c r="H89" s="107"/>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93"/>
    </row>
    <row r="90" spans="1:39" ht="15" customHeight="1" x14ac:dyDescent="0.2">
      <c r="A90" s="19"/>
      <c r="B90" s="194"/>
      <c r="C90" s="21"/>
      <c r="D90" s="99"/>
      <c r="E90" s="147"/>
      <c r="F90" s="255"/>
      <c r="G90" s="158"/>
      <c r="H90" s="107"/>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93"/>
    </row>
    <row r="91" spans="1:39" ht="15" customHeight="1" x14ac:dyDescent="0.2">
      <c r="A91" s="19"/>
      <c r="B91" s="194"/>
      <c r="C91" s="21"/>
      <c r="D91" s="99"/>
      <c r="E91" s="147"/>
      <c r="F91" s="255"/>
      <c r="G91" s="158"/>
      <c r="H91" s="107"/>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93"/>
    </row>
    <row r="92" spans="1:39" ht="15" customHeight="1" x14ac:dyDescent="0.2">
      <c r="A92" s="19"/>
      <c r="B92" s="194"/>
      <c r="C92" s="21"/>
      <c r="D92" s="99"/>
      <c r="E92" s="147"/>
      <c r="F92" s="255"/>
      <c r="G92" s="158"/>
      <c r="H92" s="107"/>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93"/>
    </row>
    <row r="93" spans="1:39" ht="15" customHeight="1" x14ac:dyDescent="0.2">
      <c r="A93" s="19"/>
      <c r="B93" s="194"/>
      <c r="C93" s="21"/>
      <c r="D93" s="99"/>
      <c r="E93" s="147"/>
      <c r="F93" s="255"/>
      <c r="G93" s="158"/>
      <c r="H93" s="107"/>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93"/>
    </row>
    <row r="94" spans="1:39" ht="15" customHeight="1" x14ac:dyDescent="0.2">
      <c r="A94" s="19"/>
      <c r="B94" s="194"/>
      <c r="C94" s="21"/>
      <c r="D94" s="99"/>
      <c r="E94" s="147"/>
      <c r="F94" s="255"/>
      <c r="G94" s="158"/>
      <c r="H94" s="107"/>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93"/>
    </row>
    <row r="95" spans="1:39" ht="15" customHeight="1" x14ac:dyDescent="0.2">
      <c r="A95" s="19"/>
      <c r="B95" s="194"/>
      <c r="C95" s="21"/>
      <c r="D95" s="99"/>
      <c r="E95" s="147"/>
      <c r="F95" s="255"/>
      <c r="G95" s="158"/>
      <c r="H95" s="107"/>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93"/>
    </row>
    <row r="96" spans="1:39" ht="15" customHeight="1" thickBot="1" x14ac:dyDescent="0.25">
      <c r="A96" s="19"/>
      <c r="B96" s="194"/>
      <c r="C96" s="21"/>
      <c r="D96" s="99"/>
      <c r="E96" s="147"/>
      <c r="F96" s="257"/>
      <c r="G96" s="158"/>
      <c r="H96" s="107"/>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93"/>
    </row>
    <row r="97" spans="1:42" ht="15" customHeight="1" x14ac:dyDescent="0.25">
      <c r="A97" s="19"/>
      <c r="B97" s="260" t="s">
        <v>505</v>
      </c>
      <c r="C97" s="303"/>
      <c r="D97" s="81"/>
      <c r="E97" s="229" t="s">
        <v>23</v>
      </c>
      <c r="F97" s="254" t="s">
        <v>21</v>
      </c>
      <c r="G97" s="157"/>
      <c r="H97" s="252"/>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106"/>
      <c r="AN97" s="28" t="s">
        <v>21</v>
      </c>
    </row>
    <row r="98" spans="1:42" ht="15" customHeight="1" x14ac:dyDescent="0.2">
      <c r="A98" s="19"/>
      <c r="B98" s="194"/>
      <c r="C98" s="21"/>
      <c r="D98" s="21"/>
      <c r="E98" s="147" t="s">
        <v>461</v>
      </c>
      <c r="F98" s="173">
        <v>40</v>
      </c>
      <c r="G98" s="158" t="s">
        <v>89</v>
      </c>
      <c r="H98" s="183"/>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93"/>
      <c r="AN98" s="28" t="s">
        <v>22</v>
      </c>
      <c r="AP98" s="207">
        <f>--F98</f>
        <v>40</v>
      </c>
    </row>
    <row r="99" spans="1:42" ht="15" customHeight="1" x14ac:dyDescent="0.2">
      <c r="A99" s="19"/>
      <c r="B99" s="214"/>
      <c r="C99" s="21"/>
      <c r="D99" s="21"/>
      <c r="E99" s="147" t="s">
        <v>464</v>
      </c>
      <c r="F99" s="173">
        <v>36</v>
      </c>
      <c r="G99" s="158" t="s">
        <v>89</v>
      </c>
      <c r="H99" s="183"/>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93"/>
      <c r="AP99" s="207">
        <f>F99</f>
        <v>36</v>
      </c>
    </row>
    <row r="100" spans="1:42" ht="15" customHeight="1" x14ac:dyDescent="0.2">
      <c r="A100" s="19"/>
      <c r="B100" s="194"/>
      <c r="C100" s="21"/>
      <c r="D100" s="21"/>
      <c r="E100" s="147" t="s">
        <v>465</v>
      </c>
      <c r="F100" s="173">
        <v>60.5</v>
      </c>
      <c r="G100" s="158" t="s">
        <v>89</v>
      </c>
      <c r="H100" s="183"/>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93"/>
      <c r="AP100" s="207">
        <f>F100</f>
        <v>60.5</v>
      </c>
    </row>
    <row r="101" spans="1:42" ht="15" customHeight="1" x14ac:dyDescent="0.2">
      <c r="A101" s="19"/>
      <c r="B101" s="194"/>
      <c r="C101" s="21"/>
      <c r="D101" s="21"/>
      <c r="E101" s="218" t="s">
        <v>463</v>
      </c>
      <c r="F101" s="289">
        <v>58</v>
      </c>
      <c r="G101" s="151" t="s">
        <v>89</v>
      </c>
      <c r="H101" s="183"/>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93"/>
      <c r="AP101" s="207">
        <f>F101</f>
        <v>58</v>
      </c>
    </row>
    <row r="102" spans="1:42" ht="15" customHeight="1" x14ac:dyDescent="0.2">
      <c r="A102" s="19"/>
      <c r="B102" s="83"/>
      <c r="C102" s="21"/>
      <c r="D102" s="21"/>
      <c r="E102" s="219" t="s">
        <v>271</v>
      </c>
      <c r="F102" s="288">
        <f>IF(F97="Option A",Equations!F128,Equations!G128)</f>
        <v>181.81818181818181</v>
      </c>
      <c r="G102" s="159" t="s">
        <v>87</v>
      </c>
      <c r="H102" s="183"/>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93"/>
    </row>
    <row r="103" spans="1:42" ht="15" customHeight="1" x14ac:dyDescent="0.2">
      <c r="A103" s="19"/>
      <c r="B103" s="83"/>
      <c r="C103" s="21"/>
      <c r="D103" s="21"/>
      <c r="E103" s="220" t="s">
        <v>24</v>
      </c>
      <c r="F103" s="288">
        <f>IF(F97="Option A",Equations!F129,Equations!G129)</f>
        <v>5.4946903349518372</v>
      </c>
      <c r="G103" s="159" t="s">
        <v>87</v>
      </c>
      <c r="H103" s="183"/>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93"/>
    </row>
    <row r="104" spans="1:42" ht="15" customHeight="1" x14ac:dyDescent="0.2">
      <c r="A104" s="19"/>
      <c r="B104" s="83"/>
      <c r="C104" s="21"/>
      <c r="D104" s="21"/>
      <c r="E104" s="218" t="s">
        <v>25</v>
      </c>
      <c r="F104" s="288">
        <f>IF(F97="Option A",Equations!F130,Equations!G130)</f>
        <v>8.0738306962557598</v>
      </c>
      <c r="G104" s="159" t="s">
        <v>87</v>
      </c>
      <c r="H104" s="183"/>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93"/>
    </row>
    <row r="105" spans="1:42" ht="15" customHeight="1" x14ac:dyDescent="0.2">
      <c r="A105" s="19"/>
      <c r="B105" s="83"/>
      <c r="C105" s="21"/>
      <c r="D105" s="21"/>
      <c r="E105" s="220" t="s">
        <v>26</v>
      </c>
      <c r="F105" s="288">
        <f>IF(F97="Option A",Equations!F131,Equations!G131)</f>
        <v>0</v>
      </c>
      <c r="G105" s="158" t="s">
        <v>87</v>
      </c>
      <c r="H105" s="183"/>
      <c r="I105" s="21"/>
      <c r="J105" s="96"/>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93"/>
    </row>
    <row r="106" spans="1:42" ht="15" customHeight="1" x14ac:dyDescent="0.2">
      <c r="A106" s="19"/>
      <c r="B106" s="83"/>
      <c r="C106" s="21"/>
      <c r="D106" s="21"/>
      <c r="E106" s="147" t="s">
        <v>99</v>
      </c>
      <c r="F106" s="173">
        <v>182</v>
      </c>
      <c r="G106" s="159" t="s">
        <v>87</v>
      </c>
      <c r="H106" s="183"/>
      <c r="I106" s="21"/>
      <c r="J106" s="96"/>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93"/>
    </row>
    <row r="107" spans="1:42" ht="15" customHeight="1" x14ac:dyDescent="0.2">
      <c r="A107" s="19"/>
      <c r="B107" s="83"/>
      <c r="C107" s="21"/>
      <c r="D107" s="21"/>
      <c r="E107" s="147" t="s">
        <v>100</v>
      </c>
      <c r="F107" s="173">
        <v>5.49</v>
      </c>
      <c r="G107" s="159" t="s">
        <v>87</v>
      </c>
      <c r="H107" s="183"/>
      <c r="I107" s="21"/>
      <c r="J107" s="96"/>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93"/>
    </row>
    <row r="108" spans="1:42" ht="15" customHeight="1" x14ac:dyDescent="0.2">
      <c r="A108" s="19"/>
      <c r="B108" s="83"/>
      <c r="C108" s="21"/>
      <c r="D108" s="21"/>
      <c r="E108" s="147" t="s">
        <v>101</v>
      </c>
      <c r="F108" s="173">
        <v>8</v>
      </c>
      <c r="G108" s="159" t="s">
        <v>87</v>
      </c>
      <c r="H108" s="183"/>
      <c r="I108" s="21"/>
      <c r="J108" s="96"/>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93"/>
    </row>
    <row r="109" spans="1:42" ht="15" customHeight="1" x14ac:dyDescent="0.2">
      <c r="A109" s="19"/>
      <c r="B109" s="83"/>
      <c r="C109" s="21"/>
      <c r="D109" s="21"/>
      <c r="E109" s="147" t="s">
        <v>102</v>
      </c>
      <c r="F109" s="289">
        <v>3.95</v>
      </c>
      <c r="G109" s="159" t="s">
        <v>87</v>
      </c>
      <c r="H109" s="183"/>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93"/>
    </row>
    <row r="110" spans="1:42" ht="15" customHeight="1" x14ac:dyDescent="0.2">
      <c r="A110" s="19"/>
      <c r="B110" s="83"/>
      <c r="C110" s="21"/>
      <c r="D110" s="21"/>
      <c r="E110" s="21"/>
      <c r="F110" s="21"/>
      <c r="G110" s="160"/>
      <c r="H110" s="183"/>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93"/>
    </row>
    <row r="111" spans="1:42" ht="15" customHeight="1" thickBot="1" x14ac:dyDescent="0.25">
      <c r="A111" s="19"/>
      <c r="B111" s="83"/>
      <c r="C111" s="94" t="s">
        <v>56</v>
      </c>
      <c r="D111" s="95" t="s">
        <v>37</v>
      </c>
      <c r="E111" s="95" t="s">
        <v>38</v>
      </c>
      <c r="F111" s="95" t="s">
        <v>39</v>
      </c>
      <c r="G111" s="160"/>
      <c r="H111" s="253"/>
      <c r="I111" s="99"/>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93"/>
    </row>
    <row r="112" spans="1:42" ht="15" customHeight="1" x14ac:dyDescent="0.2">
      <c r="A112" s="19"/>
      <c r="B112" s="83"/>
      <c r="C112" s="31" t="s">
        <v>469</v>
      </c>
      <c r="D112" s="40">
        <f>IF($F$97="Option A",Equations!F132,Equations!G132)</f>
        <v>37.324114158636036</v>
      </c>
      <c r="E112" s="41">
        <f>IF($F$97="Option A",Equations!F133,Equations!G133)</f>
        <v>40.232687916975536</v>
      </c>
      <c r="F112" s="42">
        <f>IF($F$97="Option A",Equations!F134,Equations!G134)</f>
        <v>43.141261675315043</v>
      </c>
      <c r="G112" s="158" t="s">
        <v>89</v>
      </c>
      <c r="H112" s="253"/>
      <c r="I112" s="99"/>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93"/>
    </row>
    <row r="113" spans="1:39" ht="15" customHeight="1" x14ac:dyDescent="0.2">
      <c r="A113" s="19"/>
      <c r="B113" s="83"/>
      <c r="C113" s="31" t="s">
        <v>467</v>
      </c>
      <c r="D113" s="43">
        <f>IF($F$97="Option A",Equations!F135,Equations!G135)</f>
        <v>35.504114158636028</v>
      </c>
      <c r="E113" s="44">
        <f>IF($F$97="Option A",Equations!F136,Equations!G136)</f>
        <v>36.228687916975538</v>
      </c>
      <c r="F113" s="45">
        <f>IF($F$97="Option A",Equations!F137,Equations!G137)</f>
        <v>36.953261675315048</v>
      </c>
      <c r="G113" s="158" t="s">
        <v>89</v>
      </c>
      <c r="H113" s="253"/>
      <c r="I113" s="99"/>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93"/>
    </row>
    <row r="114" spans="1:39" ht="15" customHeight="1" x14ac:dyDescent="0.2">
      <c r="A114" s="19"/>
      <c r="B114" s="83"/>
      <c r="C114" s="31" t="s">
        <v>466</v>
      </c>
      <c r="D114" s="43">
        <f>IF($F$97="Option A",Equations!F138,Equations!G138)</f>
        <v>59.380087500000009</v>
      </c>
      <c r="E114" s="44">
        <f>IF($F$97="Option A",Equations!F139,Equations!G139)</f>
        <v>61.090625000000003</v>
      </c>
      <c r="F114" s="45">
        <f>IF($F$97="Option A",Equations!F140,Equations!G140)</f>
        <v>62.801162499999997</v>
      </c>
      <c r="G114" s="158" t="s">
        <v>89</v>
      </c>
      <c r="H114" s="253"/>
      <c r="I114" s="99"/>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93"/>
    </row>
    <row r="115" spans="1:39" ht="15" customHeight="1" thickBot="1" x14ac:dyDescent="0.25">
      <c r="A115" s="19"/>
      <c r="B115" s="83"/>
      <c r="C115" s="31" t="s">
        <v>468</v>
      </c>
      <c r="D115" s="46">
        <f>IF($F$97="Option A",Equations!F141,Equations!G141)</f>
        <v>53.00542750000001</v>
      </c>
      <c r="E115" s="47">
        <f>IF($F$97="Option A",Equations!F142,Equations!G142)</f>
        <v>56.965845000000002</v>
      </c>
      <c r="F115" s="48">
        <f>IF($F$97="Option A",Equations!F143,Equations!G143)</f>
        <v>60.9262625</v>
      </c>
      <c r="G115" s="158" t="s">
        <v>89</v>
      </c>
      <c r="H115" s="253"/>
      <c r="I115" s="99"/>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93"/>
    </row>
    <row r="116" spans="1:39" ht="15" customHeight="1" x14ac:dyDescent="0.2">
      <c r="A116" s="19"/>
      <c r="B116" s="83"/>
      <c r="C116" s="352" t="s">
        <v>504</v>
      </c>
      <c r="D116" s="352"/>
      <c r="E116" s="352"/>
      <c r="F116" s="352"/>
      <c r="G116" s="353"/>
      <c r="H116" s="253"/>
      <c r="I116" s="99"/>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93"/>
    </row>
    <row r="117" spans="1:39" ht="15" customHeight="1" x14ac:dyDescent="0.2">
      <c r="A117" s="19"/>
      <c r="B117" s="194"/>
      <c r="C117" s="352"/>
      <c r="D117" s="352"/>
      <c r="E117" s="352"/>
      <c r="F117" s="352"/>
      <c r="G117" s="353"/>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301"/>
    </row>
    <row r="118" spans="1:39" ht="15" customHeight="1" x14ac:dyDescent="0.2">
      <c r="A118" s="19"/>
      <c r="B118" s="194"/>
      <c r="C118" s="352"/>
      <c r="D118" s="352"/>
      <c r="E118" s="352"/>
      <c r="F118" s="352"/>
      <c r="G118" s="353"/>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301"/>
    </row>
    <row r="119" spans="1:39" ht="15" customHeight="1" x14ac:dyDescent="0.2">
      <c r="A119" s="19"/>
      <c r="B119" s="194"/>
      <c r="C119" s="334"/>
      <c r="D119" s="334"/>
      <c r="E119" s="334"/>
      <c r="F119" s="334"/>
      <c r="G119" s="333"/>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301"/>
    </row>
    <row r="120" spans="1:39" ht="15" customHeight="1" x14ac:dyDescent="0.2">
      <c r="A120" s="19"/>
      <c r="B120" s="194"/>
      <c r="C120" s="334"/>
      <c r="D120" s="334"/>
      <c r="E120" s="335"/>
      <c r="F120" s="334"/>
      <c r="G120" s="333"/>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301"/>
    </row>
    <row r="121" spans="1:39" ht="15" customHeight="1" thickBot="1" x14ac:dyDescent="0.25">
      <c r="A121" s="19"/>
      <c r="B121" s="194"/>
      <c r="C121" s="334"/>
      <c r="D121" s="334"/>
      <c r="E121" s="334"/>
      <c r="F121" s="334"/>
      <c r="G121" s="333"/>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301"/>
    </row>
    <row r="122" spans="1:39" ht="18.75" customHeight="1" thickBot="1" x14ac:dyDescent="0.3">
      <c r="A122" s="19"/>
      <c r="B122" s="260" t="s">
        <v>202</v>
      </c>
      <c r="C122" s="251"/>
      <c r="D122" s="251"/>
      <c r="E122" s="326"/>
      <c r="F122" s="308"/>
      <c r="G122" s="327"/>
      <c r="H122" s="251"/>
      <c r="I122" s="251"/>
      <c r="J122" s="261"/>
      <c r="K122" s="251"/>
      <c r="L122" s="328"/>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3"/>
    </row>
    <row r="123" spans="1:39" ht="15" customHeight="1" x14ac:dyDescent="0.25">
      <c r="A123" s="19"/>
      <c r="B123" s="264"/>
      <c r="C123" s="265"/>
      <c r="D123" s="265"/>
      <c r="E123" s="266" t="s">
        <v>487</v>
      </c>
      <c r="F123" s="267">
        <f>Rs</f>
        <v>2</v>
      </c>
      <c r="G123" s="273" t="s">
        <v>88</v>
      </c>
      <c r="H123" s="265"/>
      <c r="I123" s="322"/>
      <c r="J123" s="323"/>
      <c r="K123" s="324" t="s">
        <v>38</v>
      </c>
      <c r="L123" s="325" t="s">
        <v>503</v>
      </c>
      <c r="M123" s="307"/>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70"/>
    </row>
    <row r="124" spans="1:39" ht="14.25" customHeight="1" x14ac:dyDescent="0.25">
      <c r="A124" s="19"/>
      <c r="B124" s="264"/>
      <c r="C124" s="265"/>
      <c r="D124" s="265"/>
      <c r="E124" s="258" t="s">
        <v>19</v>
      </c>
      <c r="F124" s="272">
        <f>RPWR</f>
        <v>44</v>
      </c>
      <c r="G124" s="273" t="s">
        <v>87</v>
      </c>
      <c r="H124" s="265"/>
      <c r="I124" s="316"/>
      <c r="J124" s="309" t="s">
        <v>203</v>
      </c>
      <c r="K124" s="310">
        <f>F30</f>
        <v>25</v>
      </c>
      <c r="L124" s="317" t="s">
        <v>27</v>
      </c>
      <c r="M124" s="265"/>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70"/>
    </row>
    <row r="125" spans="1:39" ht="15" customHeight="1" x14ac:dyDescent="0.2">
      <c r="A125" s="19"/>
      <c r="B125" s="271"/>
      <c r="C125" s="265"/>
      <c r="D125" s="265"/>
      <c r="E125" s="258" t="s">
        <v>486</v>
      </c>
      <c r="F125" s="274">
        <f>F60</f>
        <v>220</v>
      </c>
      <c r="G125" s="304" t="s">
        <v>109</v>
      </c>
      <c r="H125" s="265"/>
      <c r="I125" s="316"/>
      <c r="J125" s="309" t="s">
        <v>158</v>
      </c>
      <c r="K125" s="311">
        <f>F51</f>
        <v>154.92957746478874</v>
      </c>
      <c r="L125" s="317" t="s">
        <v>90</v>
      </c>
      <c r="M125" s="265"/>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70"/>
    </row>
    <row r="126" spans="1:39" ht="15" customHeight="1" x14ac:dyDescent="0.2">
      <c r="A126" s="19"/>
      <c r="B126" s="271"/>
      <c r="C126" s="265"/>
      <c r="D126" s="265"/>
      <c r="E126" s="258" t="s">
        <v>13</v>
      </c>
      <c r="F126" s="274">
        <f>F106</f>
        <v>182</v>
      </c>
      <c r="G126" s="273" t="s">
        <v>87</v>
      </c>
      <c r="H126" s="265"/>
      <c r="I126" s="316"/>
      <c r="J126" s="309" t="s">
        <v>212</v>
      </c>
      <c r="K126" s="310">
        <f>'Device Parmaters'!D33/Rs</f>
        <v>50</v>
      </c>
      <c r="L126" s="317" t="s">
        <v>27</v>
      </c>
      <c r="M126" s="265"/>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70"/>
    </row>
    <row r="127" spans="1:39" ht="15" customHeight="1" x14ac:dyDescent="0.2">
      <c r="A127" s="19"/>
      <c r="B127" s="271"/>
      <c r="C127" s="265"/>
      <c r="D127" s="265"/>
      <c r="E127" s="258" t="s">
        <v>14</v>
      </c>
      <c r="F127" s="275">
        <f>F107</f>
        <v>5.49</v>
      </c>
      <c r="G127" s="273" t="s">
        <v>87</v>
      </c>
      <c r="H127" s="265"/>
      <c r="I127" s="316"/>
      <c r="J127" s="309" t="s">
        <v>204</v>
      </c>
      <c r="K127" s="312">
        <f>F56</f>
        <v>4.1473474587477623</v>
      </c>
      <c r="L127" s="317" t="s">
        <v>8</v>
      </c>
      <c r="M127" s="265"/>
      <c r="N127" s="269"/>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c r="AJ127" s="269"/>
      <c r="AK127" s="269"/>
      <c r="AL127" s="269"/>
      <c r="AM127" s="270"/>
    </row>
    <row r="128" spans="1:39" ht="15" customHeight="1" x14ac:dyDescent="0.2">
      <c r="A128" s="19"/>
      <c r="B128" s="271"/>
      <c r="C128" s="265"/>
      <c r="D128" s="265"/>
      <c r="E128" s="258" t="s">
        <v>15</v>
      </c>
      <c r="F128" s="275">
        <f>F108</f>
        <v>8</v>
      </c>
      <c r="G128" s="273" t="s">
        <v>87</v>
      </c>
      <c r="H128" s="265"/>
      <c r="I128" s="316"/>
      <c r="J128" s="309" t="s">
        <v>205</v>
      </c>
      <c r="K128" s="310">
        <f>TINSERT</f>
        <v>146.66666666666666</v>
      </c>
      <c r="L128" s="317" t="s">
        <v>8</v>
      </c>
      <c r="M128" s="265"/>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269"/>
      <c r="AK128" s="269"/>
      <c r="AL128" s="269"/>
      <c r="AM128" s="270"/>
    </row>
    <row r="129" spans="1:40" ht="15" customHeight="1" x14ac:dyDescent="0.2">
      <c r="A129" s="19"/>
      <c r="B129" s="271"/>
      <c r="C129" s="265"/>
      <c r="D129" s="265"/>
      <c r="E129" s="258" t="s">
        <v>16</v>
      </c>
      <c r="F129" s="276" t="str">
        <f>IF(F97="Option A","N/A",F109)</f>
        <v>N/A</v>
      </c>
      <c r="G129" s="273" t="s">
        <v>87</v>
      </c>
      <c r="H129" s="265"/>
      <c r="I129" s="316"/>
      <c r="J129" s="309" t="s">
        <v>206</v>
      </c>
      <c r="K129" s="313">
        <f>Tfault</f>
        <v>10.352941176470589</v>
      </c>
      <c r="L129" s="317" t="s">
        <v>8</v>
      </c>
      <c r="M129" s="265"/>
      <c r="N129" s="269"/>
      <c r="O129" s="269"/>
      <c r="P129" s="269"/>
      <c r="Q129" s="269"/>
      <c r="R129" s="269"/>
      <c r="S129" s="269"/>
      <c r="T129" s="269"/>
      <c r="U129" s="269"/>
      <c r="V129" s="269"/>
      <c r="W129" s="269"/>
      <c r="X129" s="269"/>
      <c r="Y129" s="269"/>
      <c r="Z129" s="269"/>
      <c r="AA129" s="269"/>
      <c r="AB129" s="269"/>
      <c r="AC129" s="269"/>
      <c r="AD129" s="269"/>
      <c r="AE129" s="269"/>
      <c r="AF129" s="269"/>
      <c r="AG129" s="269"/>
      <c r="AH129" s="269"/>
      <c r="AI129" s="269"/>
      <c r="AJ129" s="269"/>
      <c r="AK129" s="269"/>
      <c r="AL129" s="269"/>
      <c r="AM129" s="270"/>
    </row>
    <row r="130" spans="1:40" ht="15" customHeight="1" x14ac:dyDescent="0.2">
      <c r="A130" s="19"/>
      <c r="B130" s="271"/>
      <c r="C130" s="265"/>
      <c r="D130" s="265"/>
      <c r="E130" s="258" t="s">
        <v>489</v>
      </c>
      <c r="F130" s="274">
        <f>IF(VINMIN&gt;35, 5.1, (VINMIN-15)/2)</f>
        <v>5.0999999999999996</v>
      </c>
      <c r="G130" s="273" t="s">
        <v>87</v>
      </c>
      <c r="H130" s="265"/>
      <c r="I130" s="316"/>
      <c r="J130" s="309" t="s">
        <v>207</v>
      </c>
      <c r="K130" s="313">
        <f>F77</f>
        <v>2069.4235294117652</v>
      </c>
      <c r="L130" s="317" t="s">
        <v>8</v>
      </c>
      <c r="M130" s="265"/>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c r="AK130" s="269"/>
      <c r="AL130" s="269"/>
      <c r="AM130" s="270"/>
    </row>
    <row r="131" spans="1:40" ht="15" customHeight="1" x14ac:dyDescent="0.2">
      <c r="A131" s="19"/>
      <c r="B131" s="271"/>
      <c r="C131" s="265"/>
      <c r="D131" s="265"/>
      <c r="E131" s="258" t="s">
        <v>57</v>
      </c>
      <c r="F131" s="274">
        <v>0.1</v>
      </c>
      <c r="G131" s="273" t="s">
        <v>86</v>
      </c>
      <c r="H131" s="265"/>
      <c r="I131" s="316"/>
      <c r="J131" s="314" t="s">
        <v>208</v>
      </c>
      <c r="K131" s="315">
        <f>E112</f>
        <v>40.232687916975536</v>
      </c>
      <c r="L131" s="317" t="s">
        <v>89</v>
      </c>
      <c r="M131" s="265"/>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269"/>
      <c r="AK131" s="269"/>
      <c r="AL131" s="269"/>
      <c r="AM131" s="270"/>
    </row>
    <row r="132" spans="1:40" ht="15" customHeight="1" x14ac:dyDescent="0.2">
      <c r="A132" s="19"/>
      <c r="B132" s="271"/>
      <c r="C132" s="265"/>
      <c r="D132" s="265"/>
      <c r="E132" s="258" t="s">
        <v>500</v>
      </c>
      <c r="F132" s="305">
        <v>100</v>
      </c>
      <c r="G132" s="273" t="s">
        <v>87</v>
      </c>
      <c r="H132" s="265"/>
      <c r="I132" s="316"/>
      <c r="J132" s="314" t="s">
        <v>210</v>
      </c>
      <c r="K132" s="315">
        <f>E113</f>
        <v>36.228687916975538</v>
      </c>
      <c r="L132" s="317" t="s">
        <v>89</v>
      </c>
      <c r="M132" s="265"/>
      <c r="N132" s="269"/>
      <c r="O132" s="269"/>
      <c r="P132" s="269"/>
      <c r="Q132" s="269"/>
      <c r="R132" s="269"/>
      <c r="S132" s="269"/>
      <c r="T132" s="269"/>
      <c r="U132" s="269"/>
      <c r="V132" s="269"/>
      <c r="W132" s="269"/>
      <c r="X132" s="269"/>
      <c r="Y132" s="269"/>
      <c r="Z132" s="269"/>
      <c r="AA132" s="269"/>
      <c r="AB132" s="269"/>
      <c r="AC132" s="269"/>
      <c r="AD132" s="269"/>
      <c r="AE132" s="269"/>
      <c r="AF132" s="269"/>
      <c r="AG132" s="269"/>
      <c r="AH132" s="269"/>
      <c r="AI132" s="269"/>
      <c r="AJ132" s="269"/>
      <c r="AK132" s="269"/>
      <c r="AL132" s="269"/>
      <c r="AM132" s="270"/>
    </row>
    <row r="133" spans="1:40" ht="15" customHeight="1" x14ac:dyDescent="0.2">
      <c r="A133" s="19"/>
      <c r="B133" s="271"/>
      <c r="C133" s="265"/>
      <c r="D133" s="265"/>
      <c r="E133" s="268" t="s">
        <v>496</v>
      </c>
      <c r="F133" s="306" t="s">
        <v>498</v>
      </c>
      <c r="G133" s="269"/>
      <c r="H133" s="265"/>
      <c r="I133" s="316"/>
      <c r="J133" s="314" t="s">
        <v>211</v>
      </c>
      <c r="K133" s="315">
        <f>E114</f>
        <v>61.090625000000003</v>
      </c>
      <c r="L133" s="317" t="s">
        <v>89</v>
      </c>
      <c r="M133" s="265"/>
      <c r="N133" s="269"/>
      <c r="O133" s="269"/>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70"/>
    </row>
    <row r="134" spans="1:40" s="300" customFormat="1" ht="15" customHeight="1" x14ac:dyDescent="0.2">
      <c r="B134" s="271"/>
      <c r="C134" s="265"/>
      <c r="D134" s="265"/>
      <c r="E134" s="268" t="s">
        <v>499</v>
      </c>
      <c r="F134" s="306" t="str">
        <f>F35</f>
        <v>PSMN4R8-100BSE</v>
      </c>
      <c r="G134" s="269"/>
      <c r="H134" s="265"/>
      <c r="I134" s="316"/>
      <c r="J134" s="314" t="s">
        <v>209</v>
      </c>
      <c r="K134" s="315">
        <f>E115</f>
        <v>56.965845000000002</v>
      </c>
      <c r="L134" s="317" t="s">
        <v>89</v>
      </c>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77"/>
    </row>
    <row r="135" spans="1:40" ht="15" customHeight="1" thickBot="1" x14ac:dyDescent="0.25">
      <c r="A135" s="19"/>
      <c r="B135" s="271"/>
      <c r="C135" s="265"/>
      <c r="D135" s="265"/>
      <c r="E135" s="268" t="s">
        <v>497</v>
      </c>
      <c r="F135" s="306" t="str">
        <f xml:space="preserve"> IF(F33="Retry", "LM5067-2", "LM5067-1")</f>
        <v>LM5067-2</v>
      </c>
      <c r="G135" s="269"/>
      <c r="H135" s="265"/>
      <c r="I135" s="318"/>
      <c r="J135" s="319" t="s">
        <v>495</v>
      </c>
      <c r="K135" s="320">
        <f>(VINNOM-13)^2/F130/1000</f>
        <v>0.24019607843137256</v>
      </c>
      <c r="L135" s="321" t="s">
        <v>90</v>
      </c>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77"/>
    </row>
    <row r="136" spans="1:40" ht="15" customHeight="1" x14ac:dyDescent="0.2">
      <c r="A136" s="19"/>
      <c r="B136" s="271"/>
      <c r="C136" s="265"/>
      <c r="D136" s="265"/>
      <c r="E136" s="265"/>
      <c r="F136" s="265"/>
      <c r="G136" s="269"/>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77"/>
    </row>
    <row r="137" spans="1:40" ht="15" customHeight="1" x14ac:dyDescent="0.2">
      <c r="A137" s="19"/>
      <c r="B137" s="271"/>
      <c r="C137" s="265"/>
      <c r="D137" s="265"/>
      <c r="E137" s="265"/>
      <c r="F137" s="265"/>
      <c r="G137" s="269"/>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77"/>
    </row>
    <row r="138" spans="1:40" ht="15" customHeight="1" x14ac:dyDescent="0.3">
      <c r="A138" s="19"/>
      <c r="B138" s="278" t="s">
        <v>20</v>
      </c>
      <c r="C138" s="279" t="s">
        <v>491</v>
      </c>
      <c r="D138" s="280"/>
      <c r="E138" s="265"/>
      <c r="F138" s="265"/>
      <c r="G138" s="269"/>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77"/>
    </row>
    <row r="139" spans="1:40" ht="15" customHeight="1" x14ac:dyDescent="0.2">
      <c r="A139" s="19"/>
      <c r="B139" s="271"/>
      <c r="C139" s="279" t="s">
        <v>494</v>
      </c>
      <c r="D139" s="265"/>
      <c r="E139" s="265"/>
      <c r="F139" s="265"/>
      <c r="G139" s="269"/>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77"/>
    </row>
    <row r="140" spans="1:40" ht="15" customHeight="1" x14ac:dyDescent="0.2">
      <c r="A140" s="19"/>
      <c r="B140" s="271"/>
      <c r="C140" s="279" t="s">
        <v>269</v>
      </c>
      <c r="D140" s="265"/>
      <c r="E140" s="265"/>
      <c r="F140" s="265"/>
      <c r="G140" s="269"/>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77"/>
    </row>
    <row r="141" spans="1:40" ht="15" customHeight="1" x14ac:dyDescent="0.2">
      <c r="A141" s="19"/>
      <c r="B141" s="271"/>
      <c r="C141" s="302" t="s">
        <v>490</v>
      </c>
      <c r="D141" s="265"/>
      <c r="E141" s="265"/>
      <c r="F141" s="265"/>
      <c r="G141" s="269"/>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77"/>
    </row>
    <row r="142" spans="1:40" ht="15" customHeight="1" thickBot="1" x14ac:dyDescent="0.25">
      <c r="A142" s="19"/>
      <c r="B142" s="329"/>
      <c r="C142" s="330"/>
      <c r="D142" s="330"/>
      <c r="E142" s="330"/>
      <c r="F142" s="330"/>
      <c r="G142" s="331"/>
      <c r="H142" s="330"/>
      <c r="I142" s="330"/>
      <c r="J142" s="330"/>
      <c r="K142" s="330"/>
      <c r="L142" s="330"/>
      <c r="M142" s="330"/>
      <c r="N142" s="330"/>
      <c r="O142" s="330"/>
      <c r="P142" s="330"/>
      <c r="Q142" s="330"/>
      <c r="R142" s="330"/>
      <c r="S142" s="330"/>
      <c r="T142" s="330"/>
      <c r="U142" s="330"/>
      <c r="V142" s="330"/>
      <c r="W142" s="330"/>
      <c r="X142" s="330"/>
      <c r="Y142" s="330"/>
      <c r="Z142" s="330"/>
      <c r="AA142" s="330"/>
      <c r="AB142" s="330"/>
      <c r="AC142" s="330"/>
      <c r="AD142" s="330"/>
      <c r="AE142" s="330"/>
      <c r="AF142" s="330"/>
      <c r="AG142" s="330"/>
      <c r="AH142" s="330"/>
      <c r="AI142" s="330"/>
      <c r="AJ142" s="330"/>
      <c r="AK142" s="330"/>
      <c r="AL142" s="330"/>
      <c r="AM142" s="332"/>
    </row>
    <row r="143" spans="1:40" ht="15" customHeight="1" x14ac:dyDescent="0.2">
      <c r="A143" s="19"/>
      <c r="B143" s="19"/>
      <c r="C143" s="19"/>
      <c r="D143" s="19"/>
      <c r="E143" s="19"/>
      <c r="F143" s="30"/>
      <c r="G143" s="161"/>
      <c r="H143" s="19"/>
      <c r="I143" s="19"/>
      <c r="J143" s="19"/>
      <c r="K143" s="30"/>
      <c r="L143" s="30"/>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ht="15" customHeight="1" x14ac:dyDescent="0.25">
      <c r="A144" s="19"/>
      <c r="B144" s="37"/>
      <c r="C144" s="19"/>
      <c r="D144" s="19"/>
      <c r="E144" s="19"/>
      <c r="F144" s="19"/>
      <c r="G144" s="161"/>
      <c r="H144" s="19"/>
      <c r="I144" s="19"/>
      <c r="J144" s="19"/>
      <c r="K144" s="30"/>
      <c r="L144" s="30"/>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28"/>
    </row>
    <row r="145" spans="1:39" ht="15" customHeight="1" x14ac:dyDescent="0.2">
      <c r="A145" s="19"/>
      <c r="B145" s="19"/>
      <c r="C145" s="19"/>
      <c r="D145" s="19"/>
      <c r="E145" s="19"/>
      <c r="F145" s="30"/>
      <c r="G145" s="161"/>
      <c r="H145" s="19"/>
      <c r="I145" s="19"/>
      <c r="J145" s="19"/>
      <c r="K145" s="30"/>
      <c r="L145" s="30"/>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30"/>
      <c r="G146" s="161"/>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30"/>
      <c r="G147" s="161"/>
      <c r="H147" s="30"/>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
      <c r="A148" s="19"/>
      <c r="B148" s="19"/>
      <c r="C148" s="19"/>
      <c r="D148" s="19"/>
      <c r="E148" s="19"/>
      <c r="F148" s="30"/>
      <c r="G148" s="161"/>
      <c r="H148" s="30"/>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19"/>
      <c r="G149" s="161"/>
      <c r="H149" s="19"/>
      <c r="I149" s="30"/>
      <c r="J149" s="30"/>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19"/>
      <c r="G150" s="161"/>
      <c r="H150" s="19"/>
      <c r="I150" s="30"/>
      <c r="J150" s="30"/>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19"/>
      <c r="G151" s="161"/>
      <c r="H151" s="30"/>
      <c r="I151" s="30"/>
      <c r="J151" s="30"/>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19"/>
      <c r="G152" s="20"/>
      <c r="H152" s="30"/>
      <c r="I152" s="30"/>
      <c r="J152" s="30"/>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C153" s="19"/>
      <c r="D153" s="19"/>
      <c r="E153" s="19"/>
      <c r="F153" s="19"/>
      <c r="G153" s="20"/>
      <c r="H153" s="30"/>
      <c r="I153" s="30"/>
      <c r="J153" s="30"/>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
      <c r="A154" s="19"/>
      <c r="B154" s="19"/>
      <c r="C154" s="19"/>
      <c r="D154" s="19"/>
      <c r="E154" s="19"/>
      <c r="F154" s="19"/>
      <c r="G154" s="20"/>
      <c r="H154" s="30"/>
      <c r="I154" s="30"/>
      <c r="J154" s="30"/>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19"/>
      <c r="G155" s="20"/>
      <c r="H155" s="30"/>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19"/>
      <c r="G156" s="20"/>
      <c r="H156" s="30"/>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ht="15" x14ac:dyDescent="0.25">
      <c r="A168" s="19"/>
      <c r="B168" s="38"/>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row>
    <row r="190" spans="1:39" x14ac:dyDescent="0.2">
      <c r="A190" s="19"/>
    </row>
    <row r="191" spans="1:39" x14ac:dyDescent="0.2">
      <c r="A191" s="19"/>
    </row>
    <row r="192" spans="1:39" x14ac:dyDescent="0.2">
      <c r="A192" s="19"/>
    </row>
  </sheetData>
  <sheetProtection password="C649" sheet="1" objects="1" scenarios="1" selectLockedCells="1"/>
  <dataConsolidate/>
  <mergeCells count="4">
    <mergeCell ref="L2:M2"/>
    <mergeCell ref="A1:M1"/>
    <mergeCell ref="D11:E12"/>
    <mergeCell ref="C116:G118"/>
  </mergeCells>
  <phoneticPr fontId="3" type="noConversion"/>
  <conditionalFormatting sqref="F99">
    <cfRule type="cellIs" dxfId="33" priority="67" stopIfTrue="1" operator="greaterThanOrEqual">
      <formula>F98</formula>
    </cfRule>
  </conditionalFormatting>
  <conditionalFormatting sqref="F101">
    <cfRule type="expression" dxfId="32" priority="68" stopIfTrue="1">
      <formula>F97="Option A"</formula>
    </cfRule>
  </conditionalFormatting>
  <conditionalFormatting sqref="G101">
    <cfRule type="expression" dxfId="31" priority="69" stopIfTrue="1">
      <formula>F97="Option A"</formula>
    </cfRule>
  </conditionalFormatting>
  <conditionalFormatting sqref="E101">
    <cfRule type="expression" dxfId="30" priority="70" stopIfTrue="1">
      <formula>F97="Option A"</formula>
    </cfRule>
  </conditionalFormatting>
  <conditionalFormatting sqref="F105 F118:F119">
    <cfRule type="expression" dxfId="29" priority="71" stopIfTrue="1">
      <formula>F97="Option A"</formula>
    </cfRule>
  </conditionalFormatting>
  <conditionalFormatting sqref="E105">
    <cfRule type="expression" dxfId="28" priority="73" stopIfTrue="1">
      <formula>F97="Option A"</formula>
    </cfRule>
  </conditionalFormatting>
  <conditionalFormatting sqref="F23">
    <cfRule type="cellIs" dxfId="27" priority="74" stopIfTrue="1" operator="greaterThan">
      <formula>200</formula>
    </cfRule>
  </conditionalFormatting>
  <conditionalFormatting sqref="D112:F115">
    <cfRule type="cellIs" dxfId="26" priority="76" operator="notBetween">
      <formula>80</formula>
      <formula>9</formula>
    </cfRule>
  </conditionalFormatting>
  <conditionalFormatting sqref="G105 G118:G119">
    <cfRule type="expression" dxfId="25" priority="64">
      <formula>F97="Option A"</formula>
    </cfRule>
  </conditionalFormatting>
  <conditionalFormatting sqref="G109">
    <cfRule type="expression" dxfId="24" priority="63">
      <formula>F97="Option A"</formula>
    </cfRule>
  </conditionalFormatting>
  <conditionalFormatting sqref="F109">
    <cfRule type="expression" dxfId="23" priority="62">
      <formula>F97="Option A"</formula>
    </cfRule>
  </conditionalFormatting>
  <conditionalFormatting sqref="E109">
    <cfRule type="expression" dxfId="22" priority="61">
      <formula>F97="Option A"</formula>
    </cfRule>
  </conditionalFormatting>
  <conditionalFormatting sqref="F46">
    <cfRule type="colorScale" priority="38">
      <colorScale>
        <cfvo type="min"/>
        <cfvo type="formula" val="$AN$39*0.8"/>
        <cfvo type="num" val="$AN$39"/>
        <color theme="0"/>
        <color rgb="FFFFC000"/>
        <color rgb="FFFF0000"/>
      </colorScale>
    </cfRule>
  </conditionalFormatting>
  <conditionalFormatting sqref="F24:F25">
    <cfRule type="cellIs" dxfId="21" priority="35" operator="equal">
      <formula>"NA"</formula>
    </cfRule>
    <cfRule type="cellIs" dxfId="20" priority="41" operator="equal">
      <formula>"""NA"""</formula>
    </cfRule>
  </conditionalFormatting>
  <conditionalFormatting sqref="F57">
    <cfRule type="cellIs" dxfId="19" priority="80" operator="lessThan">
      <formula>0.25</formula>
    </cfRule>
  </conditionalFormatting>
  <conditionalFormatting sqref="F60">
    <cfRule type="cellIs" dxfId="18" priority="31" operator="lessThan">
      <formula>$F$59</formula>
    </cfRule>
  </conditionalFormatting>
  <conditionalFormatting sqref="F62">
    <cfRule type="cellIs" dxfId="17" priority="28" operator="lessThan">
      <formula>1.1</formula>
    </cfRule>
    <cfRule type="cellIs" dxfId="16" priority="29" operator="between">
      <formula>1.1</formula>
      <formula>1.3</formula>
    </cfRule>
  </conditionalFormatting>
  <conditionalFormatting sqref="E55:F55">
    <cfRule type="expression" dxfId="15" priority="78">
      <formula>#REF!="Yes"</formula>
    </cfRule>
  </conditionalFormatting>
  <conditionalFormatting sqref="G66 G68:G73">
    <cfRule type="expression" dxfId="14" priority="26">
      <formula>#REF!="Yes"</formula>
    </cfRule>
  </conditionalFormatting>
  <conditionalFormatting sqref="E56:G62">
    <cfRule type="expression" dxfId="13" priority="24" stopIfTrue="1">
      <formula>$F$55="Yes"</formula>
    </cfRule>
  </conditionalFormatting>
  <conditionalFormatting sqref="D64:G75 E63:G63">
    <cfRule type="expression" dxfId="12" priority="18" stopIfTrue="1">
      <formula>$F$55="NO"</formula>
    </cfRule>
  </conditionalFormatting>
  <conditionalFormatting sqref="F66 F69">
    <cfRule type="cellIs" dxfId="11" priority="19" operator="greaterThanOrEqual">
      <formula>$F$64</formula>
    </cfRule>
  </conditionalFormatting>
  <conditionalFormatting sqref="F70 F75">
    <cfRule type="cellIs" dxfId="10" priority="20" operator="between">
      <formula>1.1</formula>
      <formula>1.2999</formula>
    </cfRule>
    <cfRule type="cellIs" dxfId="9" priority="21" operator="lessThan">
      <formula>1.1</formula>
    </cfRule>
  </conditionalFormatting>
  <conditionalFormatting sqref="F51">
    <cfRule type="cellIs" dxfId="8" priority="17" operator="lessThan">
      <formula>$F$47</formula>
    </cfRule>
  </conditionalFormatting>
  <conditionalFormatting sqref="F63">
    <cfRule type="expression" dxfId="7" priority="16">
      <formula>#REF!="Yes"</formula>
    </cfRule>
  </conditionalFormatting>
  <conditionalFormatting sqref="E24:G28">
    <cfRule type="expression" dxfId="6" priority="13" stopIfTrue="1">
      <formula>IF($F$22="No", "TRUE", "FALSE")</formula>
    </cfRule>
  </conditionalFormatting>
  <conditionalFormatting sqref="F29:F31">
    <cfRule type="cellIs" dxfId="5" priority="12" operator="lessThan">
      <formula>$F$17</formula>
    </cfRule>
  </conditionalFormatting>
  <conditionalFormatting sqref="F121">
    <cfRule type="expression" dxfId="4" priority="82" stopIfTrue="1">
      <formula>F111="Option A"</formula>
    </cfRule>
  </conditionalFormatting>
  <conditionalFormatting sqref="G121">
    <cfRule type="expression" dxfId="3" priority="84">
      <formula>F111="Option A"</formula>
    </cfRule>
  </conditionalFormatting>
  <conditionalFormatting sqref="F120">
    <cfRule type="expression" dxfId="2" priority="86" stopIfTrue="1">
      <formula>F111="Option A"</formula>
    </cfRule>
  </conditionalFormatting>
  <conditionalFormatting sqref="G120">
    <cfRule type="expression" dxfId="1" priority="88">
      <formula>F111="Option A"</formula>
    </cfRule>
  </conditionalFormatting>
  <conditionalFormatting sqref="F48">
    <cfRule type="cellIs" dxfId="0" priority="1" operator="lessThan">
      <formula>$F$47</formula>
    </cfRule>
  </conditionalFormatting>
  <dataValidations xWindow="815" yWindow="414" count="15">
    <dataValidation type="decimal" allowBlank="1" showInputMessage="1" showErrorMessage="1" errorTitle="Lower UVLO Violation" error="The lower UVLO threshold MUST be at least 2.65V, and  less than the upper UVLO threshold. They cannot be equal." sqref="F99">
      <formula1>9</formula1>
      <formula2>80</formula2>
    </dataValidation>
    <dataValidation type="decimal" allowBlank="1" showInputMessage="1" showErrorMessage="1" errorTitle="Upper OVLO Threshold Violation" error="The Upper OVLO Threshold must be greater than the upper UVLO threshold, and less than 17V." sqref="F100">
      <formula1>9</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101">
      <formula1>9</formula1>
      <formula2>80</formula2>
    </dataValidation>
    <dataValidation type="decimal" allowBlank="1" showInputMessage="1" showErrorMessage="1" errorTitle="UVLO Threshold Violation" error="The upper UVLO threshold must be no less than 2.9V, and no greater than 17V." sqref="F98">
      <formula1>9</formula1>
      <formula2>80</formula2>
    </dataValidation>
    <dataValidation type="decimal" allowBlank="1" showInputMessage="1" showErrorMessage="1" errorTitle="Minimum System Voltage Violation" error="Input voltage should be within the operating ratings." sqref="F15">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formula1>10</formula1>
    </dataValidation>
    <dataValidation type="decimal" operator="greaterThan" allowBlank="1" showInputMessage="1" showErrorMessage="1" errorTitle="Maximum Load Current Violation" error="Maximum Load Current must be greater than 0." sqref="F17">
      <formula1>0</formula1>
    </dataValidation>
    <dataValidation type="list" allowBlank="1" showInputMessage="1" showErrorMessage="1" sqref="F97">
      <formula1>$AN$97:$AN$98</formula1>
    </dataValidation>
    <dataValidation type="list" allowBlank="1" showInputMessage="1" showErrorMessage="1" sqref="F33">
      <formula1>$AN$31:$AN$32</formula1>
    </dataValidation>
    <dataValidation type="whole" allowBlank="1" showInputMessage="1" showErrorMessage="1" sqref="F37">
      <formula1>1</formula1>
      <formula2>6</formula2>
    </dataValidation>
    <dataValidation type="decimal" allowBlank="1" showInputMessage="1" showErrorMessage="1" sqref="F26">
      <formula1>0</formula1>
      <formula2>10</formula2>
    </dataValidation>
    <dataValidation type="decimal" operator="greaterThan" allowBlank="1" showInputMessage="1" showErrorMessage="1" sqref="F27:F28">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4">
      <formula1>"""NA"""</formula1>
    </dataValidation>
    <dataValidation type="list" allowBlank="1" showInputMessage="1" showErrorMessage="1" sqref="F55 F63 F22">
      <formula1>$AN$22:$AN$23</formula1>
    </dataValidation>
    <dataValidation type="list" allowBlank="1" showInputMessage="1" showErrorMessage="1" sqref="F53">
      <formula1>$AN$54:$AN$55</formula1>
    </dataValidation>
  </dataValidations>
  <hyperlinks>
    <hyperlink ref="B2" r:id="rId1"/>
  </hyperlinks>
  <pageMargins left="0.17" right="0.17" top="0.55000000000000004" bottom="0.92" header="0.48" footer="0.2"/>
  <pageSetup scale="62" fitToHeight="2" orientation="portrait" r:id="rId2"/>
  <headerFooter alignWithMargins="0"/>
  <drawing r:id="rId3"/>
  <legacyDrawing r:id="rId4"/>
  <oleObjects>
    <mc:AlternateContent xmlns:mc="http://schemas.openxmlformats.org/markup-compatibility/2006">
      <mc:Choice Requires="x14">
        <oleObject progId="Visio.Drawing.11" shapeId="1359" r:id="rId5">
          <objectPr defaultSize="0" autoPict="0" r:id="rId6">
            <anchor moveWithCells="1">
              <from>
                <xdr:col>1</xdr:col>
                <xdr:colOff>390525</xdr:colOff>
                <xdr:row>122</xdr:row>
                <xdr:rowOff>57150</xdr:rowOff>
              </from>
              <to>
                <xdr:col>4</xdr:col>
                <xdr:colOff>571500</xdr:colOff>
                <xdr:row>134</xdr:row>
                <xdr:rowOff>114300</xdr:rowOff>
              </to>
            </anchor>
          </objectPr>
        </oleObject>
      </mc:Choice>
      <mc:Fallback>
        <oleObject progId="Visio.Drawing.11" shapeId="1359" r:id="rId5"/>
      </mc:Fallback>
    </mc:AlternateContent>
  </oleObjects>
  <extLst>
    <ext xmlns:x14="http://schemas.microsoft.com/office/spreadsheetml/2009/9/main" uri="{CCE6A557-97BC-4b89-ADB6-D9C93CAAB3DF}">
      <x14:dataValidations xmlns:xm="http://schemas.microsoft.com/office/excel/2006/main" xWindow="815" yWindow="414" count="4">
        <x14:dataValidation type="decimal" operator="lessThanOrEqual" allowBlank="1" showInputMessage="1" showErrorMessage="1" errorTitle="Maximum System Voltage Violation" error="The maximum system voltage must be no greater than 80V.">
          <x14:formula1>
            <xm:f>-'Device Parmaters'!C5</xm:f>
          </x14:formula1>
          <xm:sqref>F16</xm:sqref>
        </x14:dataValidation>
        <x14:dataValidation type="decimal" allowBlank="1" showInputMessage="1" showErrorMessage="1" errorTitle="Ambient Temperature Violation" error="The Ambient Temperature must be between -40C and 125C">
          <x14:formula1>
            <xm:f>'Device Parmaters'!C4</xm:f>
          </x14:formula1>
          <x14:formula2>
            <xm:f>'Device Parmaters'!E4</xm:f>
          </x14:formula2>
          <xm:sqref>F19</xm:sqref>
        </x14:dataValidation>
        <x14:dataValidation type="decimal" operator="greaterThanOrEqual" allowBlank="1" showInputMessage="1" showErrorMessage="1" errorTitle="Minimum System Voltage Violation" error="The minimum system voltage must be larger than 9V.">
          <x14:formula1>
            <xm:f>-'Device Parmaters'!E5</xm:f>
          </x14:formula1>
          <xm:sqref>F14</xm:sqref>
        </x14:dataValidation>
        <x14:dataValidation type="decimal" allowBlank="1" showInputMessage="1" showErrorMessage="1">
          <x14:formula1>
            <xm:f>0</xm:f>
          </x14:formula1>
          <x14:formula2>
            <xm:f>Equations!F91</xm:f>
          </x14:formula2>
          <xm:sqref>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Q52"/>
  <sheetViews>
    <sheetView workbookViewId="0">
      <selection activeCell="K8" sqref="K8"/>
    </sheetView>
  </sheetViews>
  <sheetFormatPr defaultRowHeight="12.75" x14ac:dyDescent="0.2"/>
  <cols>
    <col min="1" max="1" width="9.42578125" customWidth="1"/>
    <col min="2" max="2" width="24.28515625" customWidth="1"/>
    <col min="12" max="12" width="13.5703125" customWidth="1"/>
  </cols>
  <sheetData>
    <row r="2" spans="1:17" x14ac:dyDescent="0.2">
      <c r="A2" s="28"/>
      <c r="C2" s="28" t="s">
        <v>74</v>
      </c>
      <c r="D2" s="28" t="s">
        <v>75</v>
      </c>
      <c r="E2" s="28" t="s">
        <v>76</v>
      </c>
      <c r="F2" s="28" t="s">
        <v>149</v>
      </c>
    </row>
    <row r="3" spans="1:17" x14ac:dyDescent="0.2">
      <c r="A3" s="23" t="s">
        <v>146</v>
      </c>
      <c r="C3" s="28"/>
      <c r="D3" s="28"/>
      <c r="E3" s="28"/>
    </row>
    <row r="4" spans="1:17" x14ac:dyDescent="0.2">
      <c r="A4" s="206"/>
      <c r="B4" s="28" t="s">
        <v>157</v>
      </c>
      <c r="C4" s="190">
        <v>-40</v>
      </c>
      <c r="D4" s="190"/>
      <c r="E4" s="190">
        <v>125</v>
      </c>
    </row>
    <row r="5" spans="1:17" x14ac:dyDescent="0.2">
      <c r="B5" s="29" t="s">
        <v>147</v>
      </c>
      <c r="C5" s="190">
        <v>-80</v>
      </c>
      <c r="D5" s="190"/>
      <c r="E5" s="190">
        <v>-9</v>
      </c>
      <c r="F5" s="28" t="s">
        <v>89</v>
      </c>
      <c r="J5" s="2"/>
    </row>
    <row r="6" spans="1:17" ht="16.5" customHeight="1" x14ac:dyDescent="0.2">
      <c r="A6" s="23" t="s">
        <v>122</v>
      </c>
      <c r="B6" s="29"/>
      <c r="C6" s="1"/>
      <c r="D6" s="1"/>
      <c r="E6" s="1"/>
      <c r="J6" s="2"/>
    </row>
    <row r="7" spans="1:17" s="110" customFormat="1" x14ac:dyDescent="0.2">
      <c r="B7" s="195"/>
      <c r="C7" s="190"/>
      <c r="D7" s="190"/>
      <c r="E7" s="190"/>
      <c r="J7" s="195"/>
    </row>
    <row r="8" spans="1:17" s="110" customFormat="1" x14ac:dyDescent="0.2">
      <c r="B8" s="195" t="s">
        <v>445</v>
      </c>
      <c r="C8" s="190">
        <v>44</v>
      </c>
      <c r="D8" s="190">
        <v>50</v>
      </c>
      <c r="E8" s="190">
        <v>56</v>
      </c>
      <c r="J8" s="195"/>
    </row>
    <row r="9" spans="1:17" x14ac:dyDescent="0.2">
      <c r="A9" s="192"/>
      <c r="B9" s="29" t="s">
        <v>148</v>
      </c>
      <c r="C9" s="1"/>
      <c r="D9" s="190">
        <v>6</v>
      </c>
      <c r="E9" s="1"/>
      <c r="F9" s="28" t="s">
        <v>150</v>
      </c>
      <c r="J9" s="29"/>
    </row>
    <row r="10" spans="1:17" x14ac:dyDescent="0.2">
      <c r="C10" s="1"/>
      <c r="D10" s="1"/>
      <c r="E10" s="1"/>
    </row>
    <row r="11" spans="1:17" x14ac:dyDescent="0.2">
      <c r="A11" s="23" t="s">
        <v>158</v>
      </c>
      <c r="C11" s="1"/>
      <c r="D11" s="1"/>
      <c r="E11" s="1"/>
    </row>
    <row r="12" spans="1:17" x14ac:dyDescent="0.2">
      <c r="A12" s="192"/>
      <c r="B12" s="28" t="s">
        <v>281</v>
      </c>
      <c r="C12" s="1"/>
      <c r="D12" s="1"/>
      <c r="E12" s="196">
        <v>1E-3</v>
      </c>
      <c r="F12" s="28" t="s">
        <v>89</v>
      </c>
    </row>
    <row r="13" spans="1:17" x14ac:dyDescent="0.2">
      <c r="B13" s="28" t="s">
        <v>282</v>
      </c>
      <c r="C13" s="124"/>
      <c r="D13" s="124"/>
      <c r="E13" s="190">
        <v>5.0000000000000001E-3</v>
      </c>
      <c r="F13" s="28" t="s">
        <v>89</v>
      </c>
      <c r="G13" s="28" t="s">
        <v>283</v>
      </c>
    </row>
    <row r="14" spans="1:17" x14ac:dyDescent="0.2">
      <c r="B14" s="28" t="s">
        <v>284</v>
      </c>
      <c r="C14" s="124"/>
      <c r="D14" s="124"/>
      <c r="E14" s="191">
        <v>142000</v>
      </c>
      <c r="F14" s="28"/>
    </row>
    <row r="15" spans="1:17" x14ac:dyDescent="0.2">
      <c r="B15" s="28"/>
      <c r="C15" s="124"/>
      <c r="D15" s="124"/>
      <c r="E15" s="129"/>
      <c r="F15" s="28"/>
    </row>
    <row r="16" spans="1:17" x14ac:dyDescent="0.2">
      <c r="A16" s="192"/>
      <c r="B16" s="28" t="s">
        <v>292</v>
      </c>
      <c r="C16" s="128" t="s">
        <v>285</v>
      </c>
      <c r="D16" s="124"/>
      <c r="E16" s="124"/>
      <c r="F16" s="28"/>
      <c r="I16" s="28" t="s">
        <v>287</v>
      </c>
      <c r="J16" s="28" t="s">
        <v>73</v>
      </c>
      <c r="K16" s="28" t="s">
        <v>288</v>
      </c>
      <c r="L16" s="28" t="s">
        <v>290</v>
      </c>
      <c r="M16" s="28" t="s">
        <v>289</v>
      </c>
      <c r="N16" s="28" t="s">
        <v>291</v>
      </c>
      <c r="P16" s="28" t="s">
        <v>289</v>
      </c>
      <c r="Q16" s="28" t="s">
        <v>288</v>
      </c>
    </row>
    <row r="17" spans="1:17" x14ac:dyDescent="0.2">
      <c r="A17" s="192"/>
      <c r="B17" s="28"/>
      <c r="C17" s="128" t="s">
        <v>286</v>
      </c>
      <c r="D17" s="124"/>
      <c r="E17" s="124"/>
      <c r="F17" s="28"/>
      <c r="J17">
        <v>12</v>
      </c>
      <c r="K17">
        <v>25</v>
      </c>
      <c r="L17">
        <f>0.5</f>
        <v>0.5</v>
      </c>
      <c r="M17" s="131">
        <f>1/(0.001*L17)*(K17*1000/$E$14+J17*$E$12)</f>
        <v>376.11267605633805</v>
      </c>
      <c r="N17" s="130">
        <f>K17*1000/$E$14/J17+$E$12</f>
        <v>1.5671361502347415E-2</v>
      </c>
      <c r="P17">
        <v>82</v>
      </c>
      <c r="Q17">
        <f>E14*(P17*L17*0.001-J17*E12)</f>
        <v>4118</v>
      </c>
    </row>
    <row r="18" spans="1:17" x14ac:dyDescent="0.2">
      <c r="A18" s="198"/>
      <c r="B18" s="28"/>
      <c r="C18" s="128" t="s">
        <v>449</v>
      </c>
      <c r="D18" s="124"/>
      <c r="E18" s="124"/>
      <c r="F18" s="28"/>
      <c r="J18">
        <v>12</v>
      </c>
      <c r="K18">
        <v>5</v>
      </c>
      <c r="L18">
        <f>0.5</f>
        <v>0.5</v>
      </c>
      <c r="M18" s="131">
        <f>1/(0.001*L18)*(K18*1000/$E$14+J18*$E$12)</f>
        <v>94.422535211267615</v>
      </c>
      <c r="N18" s="130">
        <f>K18*1000/$E$14/J18+$E$12*0.001</f>
        <v>2.935272300469484E-3</v>
      </c>
    </row>
    <row r="19" spans="1:17" x14ac:dyDescent="0.2">
      <c r="B19" s="28" t="s">
        <v>293</v>
      </c>
      <c r="E19" s="124"/>
      <c r="F19" s="28"/>
      <c r="I19" s="28" t="s">
        <v>295</v>
      </c>
      <c r="M19" s="131"/>
      <c r="N19" s="130"/>
    </row>
    <row r="20" spans="1:17" x14ac:dyDescent="0.2">
      <c r="C20" s="1"/>
      <c r="D20" s="1"/>
      <c r="E20" s="1"/>
    </row>
    <row r="21" spans="1:17" x14ac:dyDescent="0.2">
      <c r="A21" s="23" t="s">
        <v>152</v>
      </c>
      <c r="C21" s="1"/>
      <c r="D21" s="1"/>
      <c r="E21" s="1"/>
    </row>
    <row r="22" spans="1:17" x14ac:dyDescent="0.2">
      <c r="B22" s="29" t="s">
        <v>153</v>
      </c>
      <c r="C22" s="190">
        <v>3.76</v>
      </c>
      <c r="D22" s="190">
        <v>4</v>
      </c>
      <c r="E22" s="190">
        <v>4.16</v>
      </c>
      <c r="F22" s="28" t="s">
        <v>89</v>
      </c>
    </row>
    <row r="23" spans="1:17" x14ac:dyDescent="0.2">
      <c r="B23" s="29" t="s">
        <v>154</v>
      </c>
      <c r="C23" s="190">
        <v>-9.5</v>
      </c>
      <c r="D23" s="190">
        <v>-2.5</v>
      </c>
      <c r="E23" s="190">
        <v>-6.5</v>
      </c>
      <c r="F23" s="28" t="s">
        <v>150</v>
      </c>
    </row>
    <row r="24" spans="1:17" x14ac:dyDescent="0.2">
      <c r="B24" s="29" t="s">
        <v>381</v>
      </c>
      <c r="C24" s="165"/>
      <c r="D24" s="165"/>
      <c r="E24" s="165"/>
      <c r="F24" s="28"/>
    </row>
    <row r="25" spans="1:17" x14ac:dyDescent="0.2">
      <c r="B25" s="29" t="s">
        <v>155</v>
      </c>
      <c r="C25" s="190">
        <v>140</v>
      </c>
      <c r="D25" s="190">
        <v>85</v>
      </c>
      <c r="E25" s="190">
        <v>44</v>
      </c>
      <c r="F25" s="28" t="s">
        <v>150</v>
      </c>
    </row>
    <row r="26" spans="1:17" x14ac:dyDescent="0.2">
      <c r="A26" s="192"/>
      <c r="B26" s="29" t="s">
        <v>318</v>
      </c>
      <c r="C26" s="126"/>
      <c r="D26" s="126">
        <f>SQRT(0.66^2+ ((120-90)/90)^2+ 0.1^2)</f>
        <v>0.74613076006227697</v>
      </c>
      <c r="E26" s="126"/>
      <c r="F26" s="28"/>
      <c r="G26" s="28" t="s">
        <v>317</v>
      </c>
    </row>
    <row r="27" spans="1:17" x14ac:dyDescent="0.2">
      <c r="A27" s="198"/>
      <c r="B27" s="29" t="s">
        <v>315</v>
      </c>
      <c r="C27" s="126"/>
      <c r="D27" s="190">
        <v>0.5</v>
      </c>
      <c r="E27" s="126"/>
      <c r="F27" s="28"/>
      <c r="G27" s="28" t="s">
        <v>316</v>
      </c>
    </row>
    <row r="28" spans="1:17" x14ac:dyDescent="0.2">
      <c r="B28" s="2"/>
      <c r="C28" s="1"/>
      <c r="D28" s="1"/>
      <c r="E28" s="1"/>
    </row>
    <row r="29" spans="1:17" x14ac:dyDescent="0.2">
      <c r="A29" s="23" t="s">
        <v>187</v>
      </c>
      <c r="B29" s="2"/>
      <c r="C29" s="1"/>
      <c r="D29" s="1"/>
      <c r="E29" s="1"/>
    </row>
    <row r="30" spans="1:17" x14ac:dyDescent="0.2">
      <c r="B30" s="29" t="s">
        <v>191</v>
      </c>
      <c r="C30" s="190">
        <v>32</v>
      </c>
      <c r="D30" s="190">
        <v>52</v>
      </c>
      <c r="E30" s="190">
        <v>72</v>
      </c>
      <c r="F30" s="110" t="s">
        <v>150</v>
      </c>
    </row>
    <row r="31" spans="1:17" x14ac:dyDescent="0.2">
      <c r="B31" s="2"/>
      <c r="C31" s="1"/>
      <c r="D31" s="1"/>
      <c r="E31" s="1"/>
    </row>
    <row r="32" spans="1:17" x14ac:dyDescent="0.2">
      <c r="A32" s="23" t="s">
        <v>151</v>
      </c>
      <c r="B32" s="2"/>
      <c r="C32" s="1"/>
      <c r="D32" s="1"/>
      <c r="E32" s="1"/>
    </row>
    <row r="33" spans="1:6" x14ac:dyDescent="0.2">
      <c r="A33" s="192"/>
      <c r="B33" s="195" t="s">
        <v>447</v>
      </c>
      <c r="C33" s="190">
        <v>70</v>
      </c>
      <c r="D33" s="190">
        <v>100</v>
      </c>
      <c r="E33" s="190">
        <v>130</v>
      </c>
      <c r="F33" s="110" t="s">
        <v>159</v>
      </c>
    </row>
    <row r="34" spans="1:6" x14ac:dyDescent="0.2">
      <c r="A34" s="192"/>
      <c r="B34" s="195" t="s">
        <v>448</v>
      </c>
      <c r="C34" s="190"/>
      <c r="D34" s="190">
        <v>2</v>
      </c>
      <c r="E34" s="190"/>
    </row>
    <row r="35" spans="1:6" x14ac:dyDescent="0.2">
      <c r="A35" s="192"/>
      <c r="B35" s="29"/>
      <c r="C35" s="1"/>
      <c r="D35" s="1"/>
      <c r="E35" s="1"/>
    </row>
    <row r="36" spans="1:6" x14ac:dyDescent="0.2">
      <c r="A36" s="192"/>
      <c r="B36" s="29"/>
      <c r="C36" s="1"/>
      <c r="D36" s="1"/>
      <c r="E36" s="1"/>
    </row>
    <row r="37" spans="1:6" x14ac:dyDescent="0.2">
      <c r="B37" s="2"/>
      <c r="C37" s="1"/>
      <c r="D37" s="1"/>
      <c r="E37" s="1"/>
    </row>
    <row r="38" spans="1:6" x14ac:dyDescent="0.2">
      <c r="A38" s="23" t="s">
        <v>246</v>
      </c>
      <c r="B38" s="2"/>
    </row>
    <row r="39" spans="1:6" x14ac:dyDescent="0.2">
      <c r="B39" s="29" t="s">
        <v>153</v>
      </c>
      <c r="C39" s="110">
        <v>3.76</v>
      </c>
      <c r="D39" s="110">
        <v>4</v>
      </c>
      <c r="E39" s="110">
        <v>4.16</v>
      </c>
      <c r="F39" s="110" t="s">
        <v>89</v>
      </c>
    </row>
    <row r="40" spans="1:6" x14ac:dyDescent="0.2">
      <c r="B40" s="29" t="s">
        <v>247</v>
      </c>
      <c r="C40" s="110">
        <v>1.18</v>
      </c>
      <c r="D40" s="110">
        <v>1.25</v>
      </c>
      <c r="E40" s="110">
        <v>1.32</v>
      </c>
      <c r="F40" s="110" t="s">
        <v>89</v>
      </c>
    </row>
    <row r="41" spans="1:6" x14ac:dyDescent="0.2">
      <c r="B41" s="29" t="s">
        <v>248</v>
      </c>
      <c r="C41" s="110"/>
      <c r="D41" s="110">
        <v>0.3</v>
      </c>
      <c r="E41" s="110"/>
      <c r="F41" s="110" t="s">
        <v>89</v>
      </c>
    </row>
    <row r="42" spans="1:6" x14ac:dyDescent="0.2">
      <c r="B42" s="29" t="s">
        <v>249</v>
      </c>
      <c r="C42" s="110"/>
      <c r="D42" s="110">
        <v>0.3</v>
      </c>
      <c r="E42" s="110"/>
      <c r="F42" s="110" t="s">
        <v>89</v>
      </c>
    </row>
    <row r="43" spans="1:6" x14ac:dyDescent="0.2">
      <c r="B43" s="29" t="s">
        <v>250</v>
      </c>
      <c r="C43" s="110">
        <v>2.5</v>
      </c>
      <c r="D43" s="110">
        <v>6</v>
      </c>
      <c r="E43" s="110">
        <v>9.5</v>
      </c>
      <c r="F43" s="110" t="s">
        <v>150</v>
      </c>
    </row>
    <row r="44" spans="1:6" x14ac:dyDescent="0.2">
      <c r="B44" s="29" t="s">
        <v>251</v>
      </c>
      <c r="C44" s="110">
        <v>1.2</v>
      </c>
      <c r="D44" s="110">
        <v>1.55</v>
      </c>
      <c r="E44" s="110">
        <v>1.9</v>
      </c>
      <c r="F44" s="110" t="s">
        <v>446</v>
      </c>
    </row>
    <row r="45" spans="1:6" x14ac:dyDescent="0.2">
      <c r="B45" s="29" t="s">
        <v>155</v>
      </c>
      <c r="C45" s="110">
        <v>44</v>
      </c>
      <c r="D45" s="110">
        <v>85</v>
      </c>
      <c r="E45" s="110">
        <v>140</v>
      </c>
      <c r="F45" s="110" t="s">
        <v>150</v>
      </c>
    </row>
    <row r="46" spans="1:6" x14ac:dyDescent="0.2">
      <c r="B46" s="29" t="s">
        <v>252</v>
      </c>
      <c r="D46" s="110">
        <v>2.5</v>
      </c>
      <c r="F46" s="110" t="s">
        <v>150</v>
      </c>
    </row>
    <row r="48" spans="1:6" x14ac:dyDescent="0.2">
      <c r="A48" s="23" t="s">
        <v>256</v>
      </c>
    </row>
    <row r="49" spans="1:8" x14ac:dyDescent="0.2">
      <c r="B49" s="29" t="s">
        <v>257</v>
      </c>
      <c r="D49" s="110">
        <v>60</v>
      </c>
      <c r="E49" s="110">
        <v>150</v>
      </c>
      <c r="F49" s="110" t="s">
        <v>159</v>
      </c>
      <c r="G49" s="110">
        <v>2</v>
      </c>
      <c r="H49" s="110" t="s">
        <v>258</v>
      </c>
    </row>
    <row r="50" spans="1:8" x14ac:dyDescent="0.2">
      <c r="A50" s="23" t="s">
        <v>259</v>
      </c>
    </row>
    <row r="51" spans="1:8" x14ac:dyDescent="0.2">
      <c r="B51" s="28" t="s">
        <v>260</v>
      </c>
      <c r="C51">
        <v>1.141</v>
      </c>
      <c r="D51">
        <v>1.167</v>
      </c>
      <c r="E51">
        <v>1.19</v>
      </c>
      <c r="F51" s="28" t="s">
        <v>89</v>
      </c>
    </row>
    <row r="52" spans="1:8" x14ac:dyDescent="0.2">
      <c r="B52" s="28" t="s">
        <v>261</v>
      </c>
      <c r="C52">
        <v>18</v>
      </c>
      <c r="D52">
        <v>24</v>
      </c>
      <c r="E52">
        <v>31</v>
      </c>
      <c r="F52" s="28" t="s">
        <v>150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271"/>
  <sheetViews>
    <sheetView topLeftCell="A55" workbookViewId="0">
      <selection activeCell="K8" sqref="K8"/>
    </sheetView>
  </sheetViews>
  <sheetFormatPr defaultRowHeight="12.75" x14ac:dyDescent="0.2"/>
  <cols>
    <col min="6" max="6" width="12.42578125" bestFit="1" customWidth="1"/>
    <col min="8" max="8" width="14" customWidth="1"/>
    <col min="9" max="9" width="12.7109375" customWidth="1"/>
    <col min="10" max="10" width="11.7109375" customWidth="1"/>
  </cols>
  <sheetData>
    <row r="13" spans="1:6" x14ac:dyDescent="0.2">
      <c r="A13" s="23" t="s">
        <v>122</v>
      </c>
    </row>
    <row r="14" spans="1:6" x14ac:dyDescent="0.2">
      <c r="E14" s="2"/>
    </row>
    <row r="15" spans="1:6" x14ac:dyDescent="0.2">
      <c r="D15" t="s">
        <v>198</v>
      </c>
      <c r="E15">
        <f>IF('Design Calculator'!$F$20="25 mV",'Device Parmaters'!C7,'Device Parmaters'!C8)</f>
        <v>44</v>
      </c>
      <c r="F15" s="90" t="s">
        <v>159</v>
      </c>
    </row>
    <row r="16" spans="1:6" x14ac:dyDescent="0.2">
      <c r="D16" t="s">
        <v>197</v>
      </c>
      <c r="E16">
        <f>IF('Design Calculator'!$F$20="25 mV",'Device Parmaters'!D7,'Device Parmaters'!D8)</f>
        <v>50</v>
      </c>
      <c r="F16" s="90" t="s">
        <v>159</v>
      </c>
    </row>
    <row r="17" spans="1:8" x14ac:dyDescent="0.2">
      <c r="D17" t="s">
        <v>196</v>
      </c>
      <c r="E17">
        <f>IF('Design Calculator'!$F$20="25 mV",'Device Parmaters'!E7,'Device Parmaters'!E8)</f>
        <v>56</v>
      </c>
      <c r="F17" s="90" t="s">
        <v>159</v>
      </c>
    </row>
    <row r="18" spans="1:8" x14ac:dyDescent="0.2">
      <c r="E18" s="2"/>
    </row>
    <row r="19" spans="1:8" x14ac:dyDescent="0.2">
      <c r="A19" s="23"/>
      <c r="E19" s="2"/>
    </row>
    <row r="20" spans="1:8" x14ac:dyDescent="0.2">
      <c r="E20" s="2" t="s">
        <v>0</v>
      </c>
      <c r="F20">
        <f>CLMIN_Threshold/('Design Calculator'!F17*1.01)</f>
        <v>2.1782178217821784</v>
      </c>
    </row>
    <row r="21" spans="1:8" x14ac:dyDescent="0.2">
      <c r="E21" s="29" t="s">
        <v>199</v>
      </c>
      <c r="F21" s="28" t="str">
        <f>IF(Rs&gt;RsMAX,10,"NA")</f>
        <v>NA</v>
      </c>
    </row>
    <row r="22" spans="1:8" x14ac:dyDescent="0.2">
      <c r="E22" s="29" t="s">
        <v>200</v>
      </c>
      <c r="F22" t="str">
        <f>IF(Rs&gt;RsMAX,(((IOUTMAX*Rs)/CLMIN_Threshold)-1)*F21,"NA")</f>
        <v>NA</v>
      </c>
    </row>
    <row r="23" spans="1:8" x14ac:dyDescent="0.2">
      <c r="E23" s="29" t="s">
        <v>201</v>
      </c>
      <c r="F23">
        <f>IF(RsMAX&gt;Rs,Rs,IF('Design Calculator'!F22="Yes",IF(Rs&gt;RsMAX,Rs/(1+RDIV2/RDIV1),Rs),Rs))</f>
        <v>2</v>
      </c>
      <c r="H23" s="110"/>
    </row>
    <row r="24" spans="1:8" x14ac:dyDescent="0.2">
      <c r="E24" s="29" t="s">
        <v>1</v>
      </c>
      <c r="F24" s="4">
        <f>CLMIN_Threshold/RsEFF</f>
        <v>22</v>
      </c>
      <c r="G24" s="4"/>
    </row>
    <row r="25" spans="1:8" x14ac:dyDescent="0.2">
      <c r="E25" s="2" t="s">
        <v>2</v>
      </c>
      <c r="F25">
        <f>CLNOM_Threshold/RsEFF</f>
        <v>25</v>
      </c>
    </row>
    <row r="26" spans="1:8" x14ac:dyDescent="0.2">
      <c r="E26" s="2" t="s">
        <v>3</v>
      </c>
      <c r="F26">
        <f>CLMAX_Threshold/RsEFF</f>
        <v>28</v>
      </c>
    </row>
    <row r="27" spans="1:8" x14ac:dyDescent="0.2">
      <c r="E27" s="2" t="s">
        <v>4</v>
      </c>
      <c r="F27">
        <f>F26^2*'Design Calculator'!F23</f>
        <v>1568</v>
      </c>
    </row>
    <row r="30" spans="1:8" x14ac:dyDescent="0.2">
      <c r="E30" s="2"/>
    </row>
    <row r="31" spans="1:8" x14ac:dyDescent="0.2">
      <c r="A31" s="23" t="s">
        <v>143</v>
      </c>
    </row>
    <row r="32" spans="1:8" x14ac:dyDescent="0.2">
      <c r="A32" s="28"/>
      <c r="F32" s="28" t="s">
        <v>144</v>
      </c>
      <c r="H32" s="28" t="s">
        <v>145</v>
      </c>
    </row>
    <row r="33" spans="1:8" x14ac:dyDescent="0.2">
      <c r="A33" s="28"/>
      <c r="E33" s="52" t="s">
        <v>118</v>
      </c>
      <c r="F33" s="53">
        <f>VINMAX_P*'Design Calculator'!F40</f>
        <v>6050</v>
      </c>
      <c r="G33" s="28" t="s">
        <v>90</v>
      </c>
      <c r="H33">
        <f>F33*(TJMAX-TJ)/(TJMAX-25)</f>
        <v>3186.3333333333335</v>
      </c>
    </row>
    <row r="34" spans="1:8" x14ac:dyDescent="0.2">
      <c r="A34" s="28"/>
      <c r="E34" s="52" t="s">
        <v>119</v>
      </c>
      <c r="F34" s="53">
        <f>VINMAX_P*'Design Calculator'!F41</f>
        <v>1815</v>
      </c>
      <c r="G34" s="28" t="s">
        <v>90</v>
      </c>
      <c r="H34">
        <f>F34*(TJMAX-TJ)/(TJMAX-25)</f>
        <v>955.9</v>
      </c>
    </row>
    <row r="35" spans="1:8" x14ac:dyDescent="0.2">
      <c r="A35" s="28"/>
      <c r="E35" s="52" t="s">
        <v>120</v>
      </c>
      <c r="F35" s="53">
        <f>VINMAX_P*'Design Calculator'!F42</f>
        <v>393.25</v>
      </c>
      <c r="G35" s="28" t="s">
        <v>90</v>
      </c>
      <c r="H35">
        <f>F35*(TJMAX-TJ)/(TJMAX-25)</f>
        <v>207.11166666666668</v>
      </c>
    </row>
    <row r="36" spans="1:8" x14ac:dyDescent="0.2">
      <c r="A36" s="28"/>
      <c r="E36" s="52" t="s">
        <v>121</v>
      </c>
      <c r="F36" s="53">
        <f>VINMAX_P*'Design Calculator'!F43</f>
        <v>121</v>
      </c>
      <c r="G36" s="60" t="s">
        <v>90</v>
      </c>
      <c r="H36">
        <f>F36*(TJMAX-TJ)/(TJMAX-25)</f>
        <v>63.726666666666667</v>
      </c>
    </row>
    <row r="37" spans="1:8" x14ac:dyDescent="0.2">
      <c r="A37" s="28"/>
      <c r="E37" s="62"/>
      <c r="F37" s="61"/>
      <c r="G37" s="60"/>
    </row>
    <row r="38" spans="1:8" x14ac:dyDescent="0.2">
      <c r="A38" s="28"/>
      <c r="E38" s="62" t="s">
        <v>160</v>
      </c>
      <c r="F38" s="61">
        <f>VINMAX_P*'Device Parmaters'!E13/RsEFF/0.001</f>
        <v>151.25</v>
      </c>
      <c r="G38" s="60" t="s">
        <v>90</v>
      </c>
    </row>
    <row r="39" spans="1:8" x14ac:dyDescent="0.2">
      <c r="A39" s="28"/>
      <c r="E39" s="62" t="s">
        <v>298</v>
      </c>
      <c r="F39" s="61">
        <f>'Design Calculator'!F48</f>
        <v>152</v>
      </c>
      <c r="G39" s="60" t="s">
        <v>90</v>
      </c>
    </row>
    <row r="40" spans="1:8" x14ac:dyDescent="0.2">
      <c r="A40" s="197"/>
      <c r="B40" s="198"/>
      <c r="E40" s="62" t="s">
        <v>288</v>
      </c>
      <c r="F40" s="190">
        <f xml:space="preserve"> 142000*RsEFF*F39/1000000</f>
        <v>43.167999999999999</v>
      </c>
      <c r="G40" s="60" t="s">
        <v>299</v>
      </c>
    </row>
    <row r="41" spans="1:8" x14ac:dyDescent="0.2">
      <c r="A41" s="28"/>
      <c r="E41" s="62" t="s">
        <v>301</v>
      </c>
      <c r="F41" s="61">
        <f>RPWR</f>
        <v>44</v>
      </c>
      <c r="G41" s="60" t="s">
        <v>299</v>
      </c>
    </row>
    <row r="42" spans="1:8" x14ac:dyDescent="0.2">
      <c r="A42" s="197"/>
      <c r="B42" s="198"/>
      <c r="E42" s="62" t="s">
        <v>302</v>
      </c>
      <c r="F42" s="199">
        <f>F41*10/1.42/RsEFF</f>
        <v>154.92957746478874</v>
      </c>
      <c r="G42" s="60" t="s">
        <v>90</v>
      </c>
    </row>
    <row r="43" spans="1:8" x14ac:dyDescent="0.2">
      <c r="A43" s="28"/>
      <c r="E43" s="62"/>
      <c r="G43" s="60"/>
    </row>
    <row r="44" spans="1:8" x14ac:dyDescent="0.2">
      <c r="A44" s="28"/>
      <c r="E44" s="62"/>
      <c r="G44" s="60"/>
    </row>
    <row r="45" spans="1:8" x14ac:dyDescent="0.2">
      <c r="A45" s="28"/>
      <c r="E45" s="62"/>
      <c r="G45" s="60"/>
    </row>
    <row r="46" spans="1:8" x14ac:dyDescent="0.2">
      <c r="E46" s="2" t="s">
        <v>5</v>
      </c>
      <c r="F46" s="4">
        <f>F47*(1-0.24)</f>
        <v>117.74647887323944</v>
      </c>
      <c r="G46" t="s">
        <v>17</v>
      </c>
    </row>
    <row r="47" spans="1:8" x14ac:dyDescent="0.2">
      <c r="E47" s="2" t="s">
        <v>6</v>
      </c>
      <c r="F47" s="4">
        <f>F42</f>
        <v>154.92957746478874</v>
      </c>
    </row>
    <row r="48" spans="1:8" x14ac:dyDescent="0.2">
      <c r="E48" s="2" t="s">
        <v>7</v>
      </c>
      <c r="F48" s="4">
        <f>F47*(1+0.24)</f>
        <v>192.11267605633802</v>
      </c>
    </row>
    <row r="49" spans="1:12" x14ac:dyDescent="0.2">
      <c r="E49" s="2"/>
      <c r="F49" s="1"/>
      <c r="H49" s="2"/>
      <c r="I49" s="1"/>
      <c r="K49" s="2"/>
      <c r="L49" s="1"/>
    </row>
    <row r="50" spans="1:12" x14ac:dyDescent="0.2">
      <c r="E50" s="2"/>
      <c r="F50" s="1"/>
      <c r="H50" s="2"/>
      <c r="I50" s="1"/>
      <c r="K50" s="2"/>
      <c r="L50" s="1"/>
    </row>
    <row r="51" spans="1:12" x14ac:dyDescent="0.2">
      <c r="A51" s="23" t="s">
        <v>142</v>
      </c>
    </row>
    <row r="52" spans="1:12" x14ac:dyDescent="0.2">
      <c r="A52" s="23"/>
      <c r="D52" s="354" t="s">
        <v>341</v>
      </c>
      <c r="E52" s="355"/>
      <c r="F52" s="355"/>
      <c r="G52" s="355"/>
    </row>
    <row r="53" spans="1:12" x14ac:dyDescent="0.2">
      <c r="A53" s="23"/>
      <c r="E53" s="29" t="s">
        <v>320</v>
      </c>
      <c r="F53" s="4">
        <f>Start_up!M2</f>
        <v>4.1473474587477623</v>
      </c>
      <c r="G53" s="28" t="s">
        <v>8</v>
      </c>
    </row>
    <row r="54" spans="1:12" x14ac:dyDescent="0.2">
      <c r="A54" s="200"/>
      <c r="B54" s="198"/>
      <c r="E54" s="29" t="s">
        <v>321</v>
      </c>
      <c r="F54" s="212">
        <f>'Device Parmaters'!D27</f>
        <v>0.5</v>
      </c>
    </row>
    <row r="55" spans="1:12" x14ac:dyDescent="0.2">
      <c r="A55" s="23"/>
      <c r="E55" s="29" t="s">
        <v>322</v>
      </c>
      <c r="F55">
        <f>F53*(1+F54)</f>
        <v>6.2210211881216431</v>
      </c>
      <c r="G55" s="28" t="s">
        <v>8</v>
      </c>
    </row>
    <row r="56" spans="1:12" x14ac:dyDescent="0.2">
      <c r="A56" s="23"/>
      <c r="E56" s="29" t="s">
        <v>323</v>
      </c>
      <c r="F56">
        <f>'Device Parmaters'!D25/'Device Parmaters'!D22*F55</f>
        <v>132.19670024758491</v>
      </c>
      <c r="G56" s="28" t="s">
        <v>109</v>
      </c>
    </row>
    <row r="57" spans="1:12" x14ac:dyDescent="0.2">
      <c r="A57" s="23"/>
      <c r="E57" s="29" t="s">
        <v>324</v>
      </c>
      <c r="F57" s="4">
        <f>'Design Calculator'!F60</f>
        <v>220</v>
      </c>
      <c r="G57" s="28" t="s">
        <v>109</v>
      </c>
    </row>
    <row r="58" spans="1:12" x14ac:dyDescent="0.2">
      <c r="A58" s="23"/>
      <c r="E58" s="29" t="s">
        <v>327</v>
      </c>
      <c r="F58">
        <f>'Device Parmaters'!D22/'Device Parmaters'!D25*F57</f>
        <v>10.352941176470589</v>
      </c>
      <c r="G58" s="28" t="s">
        <v>8</v>
      </c>
    </row>
    <row r="59" spans="1:12" x14ac:dyDescent="0.2">
      <c r="A59" s="193"/>
      <c r="E59" s="29" t="s">
        <v>335</v>
      </c>
      <c r="F59">
        <f>SOA!C25/F47</f>
        <v>1.3132860948016212</v>
      </c>
      <c r="G59" s="28"/>
    </row>
    <row r="60" spans="1:12" x14ac:dyDescent="0.2">
      <c r="A60" s="23"/>
      <c r="D60" s="354" t="s">
        <v>345</v>
      </c>
      <c r="E60" s="355"/>
      <c r="F60" s="355"/>
      <c r="G60" s="355"/>
    </row>
    <row r="61" spans="1:12" x14ac:dyDescent="0.2">
      <c r="A61" s="23"/>
      <c r="C61" s="28"/>
      <c r="D61" s="145"/>
      <c r="E61" s="29" t="s">
        <v>342</v>
      </c>
      <c r="F61" s="137">
        <f>'Design Calculator'!F66</f>
        <v>0.22</v>
      </c>
      <c r="G61" s="125" t="s">
        <v>343</v>
      </c>
    </row>
    <row r="62" spans="1:12" x14ac:dyDescent="0.2">
      <c r="A62" s="23"/>
      <c r="C62" s="28"/>
      <c r="D62" s="145"/>
      <c r="E62" s="29" t="s">
        <v>366</v>
      </c>
      <c r="F62" s="138">
        <f>'Device Parmaters'!D30/ss_rate</f>
        <v>236.36363636363637</v>
      </c>
      <c r="G62" s="28" t="s">
        <v>109</v>
      </c>
    </row>
    <row r="63" spans="1:12" x14ac:dyDescent="0.2">
      <c r="A63" s="23"/>
      <c r="C63" s="28"/>
      <c r="D63" s="145"/>
      <c r="E63" s="29" t="s">
        <v>367</v>
      </c>
      <c r="F63" s="137">
        <f>'Design Calculator'!F68</f>
        <v>100</v>
      </c>
      <c r="G63" s="28" t="s">
        <v>109</v>
      </c>
    </row>
    <row r="64" spans="1:12" x14ac:dyDescent="0.2">
      <c r="A64" s="23"/>
      <c r="C64" s="28"/>
      <c r="D64" s="145"/>
      <c r="E64" s="29" t="s">
        <v>368</v>
      </c>
      <c r="F64" s="138">
        <f>ss_rate*F62/F63</f>
        <v>0.52</v>
      </c>
      <c r="G64" s="28" t="s">
        <v>343</v>
      </c>
      <c r="I64">
        <f>RDSON</f>
        <v>7</v>
      </c>
    </row>
    <row r="65" spans="1:8" x14ac:dyDescent="0.2">
      <c r="A65" s="23"/>
      <c r="C65" s="28"/>
      <c r="D65" s="145"/>
      <c r="E65" s="29" t="s">
        <v>344</v>
      </c>
      <c r="F65" s="137">
        <f>COUTMAX*F64/1000</f>
        <v>0.182</v>
      </c>
      <c r="G65" s="125" t="s">
        <v>27</v>
      </c>
    </row>
    <row r="66" spans="1:8" x14ac:dyDescent="0.2">
      <c r="A66" s="23"/>
      <c r="C66" s="28"/>
      <c r="D66" s="145"/>
      <c r="E66" s="29" t="s">
        <v>359</v>
      </c>
      <c r="F66" s="137">
        <f>VINMAX_P/F64</f>
        <v>116.34615384615384</v>
      </c>
      <c r="G66" s="125" t="s">
        <v>8</v>
      </c>
    </row>
    <row r="67" spans="1:8" x14ac:dyDescent="0.2">
      <c r="A67" s="23"/>
      <c r="C67" s="28"/>
      <c r="D67" s="145"/>
      <c r="E67" s="29" t="s">
        <v>360</v>
      </c>
      <c r="F67" s="137">
        <f>Start_up!N5</f>
        <v>0.63442207876732326</v>
      </c>
      <c r="G67" s="137" t="s">
        <v>349</v>
      </c>
    </row>
    <row r="68" spans="1:8" x14ac:dyDescent="0.2">
      <c r="A68" s="23"/>
      <c r="C68" s="28"/>
      <c r="D68" s="145"/>
      <c r="E68" s="29" t="s">
        <v>361</v>
      </c>
      <c r="F68" s="137">
        <f>Start_up!Q4</f>
        <v>154.92957746478876</v>
      </c>
      <c r="G68" s="137" t="s">
        <v>90</v>
      </c>
    </row>
    <row r="69" spans="1:8" x14ac:dyDescent="0.2">
      <c r="A69" s="23"/>
      <c r="D69" s="144"/>
      <c r="E69" s="29" t="s">
        <v>362</v>
      </c>
      <c r="F69" s="137">
        <f>F67/F68*1000</f>
        <v>4.0949061447709045</v>
      </c>
      <c r="G69" s="137" t="s">
        <v>8</v>
      </c>
    </row>
    <row r="70" spans="1:8" x14ac:dyDescent="0.2">
      <c r="A70" s="23"/>
      <c r="E70" s="29" t="s">
        <v>363</v>
      </c>
      <c r="F70" s="28">
        <f>SOA!H27</f>
        <v>474.38189073991202</v>
      </c>
      <c r="G70" s="137" t="s">
        <v>90</v>
      </c>
    </row>
    <row r="71" spans="1:8" x14ac:dyDescent="0.2">
      <c r="A71" s="23"/>
      <c r="E71" s="29" t="s">
        <v>364</v>
      </c>
      <c r="F71" s="28">
        <f>F70/F68</f>
        <v>3.0619194765939768</v>
      </c>
      <c r="G71" s="28"/>
    </row>
    <row r="72" spans="1:8" x14ac:dyDescent="0.2">
      <c r="A72" s="23"/>
      <c r="E72" s="29"/>
      <c r="F72" s="28"/>
      <c r="G72" s="28"/>
    </row>
    <row r="73" spans="1:8" x14ac:dyDescent="0.2">
      <c r="A73" s="23"/>
      <c r="E73" s="29"/>
      <c r="F73" s="28">
        <v>1</v>
      </c>
      <c r="G73" s="137" t="s">
        <v>8</v>
      </c>
    </row>
    <row r="74" spans="1:8" x14ac:dyDescent="0.2">
      <c r="A74" s="23"/>
      <c r="D74" s="356" t="s">
        <v>373</v>
      </c>
      <c r="E74" s="356"/>
      <c r="F74" s="356"/>
      <c r="G74" s="356"/>
      <c r="H74" s="356"/>
    </row>
    <row r="75" spans="1:8" x14ac:dyDescent="0.2">
      <c r="A75" s="23"/>
      <c r="E75" s="29" t="s">
        <v>369</v>
      </c>
      <c r="F75" s="163">
        <f>'Design Calculator'!F71</f>
        <v>1</v>
      </c>
      <c r="G75" s="28"/>
    </row>
    <row r="76" spans="1:8" x14ac:dyDescent="0.2">
      <c r="A76" s="23"/>
      <c r="E76" s="29" t="s">
        <v>370</v>
      </c>
      <c r="F76" s="28">
        <f>'Device Parmaters'!D25/'Device Parmaters'!D22*F75</f>
        <v>21.25</v>
      </c>
      <c r="G76" s="28" t="s">
        <v>109</v>
      </c>
    </row>
    <row r="77" spans="1:8" x14ac:dyDescent="0.2">
      <c r="A77" s="23"/>
      <c r="E77" s="162" t="s">
        <v>371</v>
      </c>
      <c r="F77" s="163">
        <f>'Design Calculator'!F73</f>
        <v>50</v>
      </c>
      <c r="G77" s="28" t="s">
        <v>109</v>
      </c>
    </row>
    <row r="78" spans="1:8" x14ac:dyDescent="0.2">
      <c r="A78" s="23"/>
      <c r="E78" s="148" t="s">
        <v>375</v>
      </c>
      <c r="F78" s="28">
        <f>'Device Parmaters'!D22/'Device Parmaters'!D25*F77</f>
        <v>2.3529411764705883</v>
      </c>
      <c r="G78" s="28" t="s">
        <v>8</v>
      </c>
    </row>
    <row r="79" spans="1:8" x14ac:dyDescent="0.2">
      <c r="A79" s="23"/>
      <c r="E79" s="162" t="s">
        <v>374</v>
      </c>
      <c r="F79" s="28">
        <f>SOA!C25</f>
        <v>203.46685975799764</v>
      </c>
      <c r="G79" s="28" t="s">
        <v>90</v>
      </c>
    </row>
    <row r="80" spans="1:8" x14ac:dyDescent="0.2">
      <c r="A80" s="23"/>
      <c r="E80" s="148" t="s">
        <v>364</v>
      </c>
      <c r="F80" s="28">
        <f>F79/F42</f>
        <v>1.3132860948016212</v>
      </c>
      <c r="G80" s="28"/>
    </row>
    <row r="81" spans="1:13" x14ac:dyDescent="0.2">
      <c r="A81" s="23"/>
      <c r="E81" s="29"/>
      <c r="F81" s="28"/>
      <c r="G81" s="28"/>
    </row>
    <row r="82" spans="1:13" x14ac:dyDescent="0.2">
      <c r="A82" s="23"/>
      <c r="E82" s="29"/>
      <c r="F82" s="28"/>
      <c r="G82" s="28"/>
    </row>
    <row r="83" spans="1:13" x14ac:dyDescent="0.2">
      <c r="A83" s="23"/>
      <c r="E83" s="29"/>
      <c r="F83" s="28"/>
      <c r="G83" s="28"/>
    </row>
    <row r="84" spans="1:13" x14ac:dyDescent="0.2">
      <c r="A84" s="23"/>
      <c r="E84" s="29"/>
      <c r="F84" s="28"/>
      <c r="G84" s="28"/>
    </row>
    <row r="85" spans="1:13" x14ac:dyDescent="0.2">
      <c r="A85" s="23"/>
      <c r="E85" s="29"/>
      <c r="F85" s="28"/>
      <c r="G85" s="28"/>
    </row>
    <row r="86" spans="1:13" x14ac:dyDescent="0.2">
      <c r="A86" s="23"/>
      <c r="E86" s="29"/>
      <c r="F86" s="28"/>
      <c r="G86" s="28"/>
    </row>
    <row r="87" spans="1:13" x14ac:dyDescent="0.2">
      <c r="A87" s="23"/>
      <c r="E87" s="29"/>
      <c r="F87" s="28"/>
      <c r="G87" s="28"/>
    </row>
    <row r="88" spans="1:13" x14ac:dyDescent="0.2">
      <c r="A88" s="23"/>
      <c r="E88" s="29"/>
      <c r="F88" s="28"/>
      <c r="G88" s="28"/>
    </row>
    <row r="89" spans="1:13" x14ac:dyDescent="0.2">
      <c r="A89" s="23"/>
    </row>
    <row r="90" spans="1:13" x14ac:dyDescent="0.2">
      <c r="A90" s="28"/>
      <c r="E90" s="29"/>
    </row>
    <row r="91" spans="1:13" x14ac:dyDescent="0.2">
      <c r="A91" s="28"/>
      <c r="E91" s="29"/>
    </row>
    <row r="92" spans="1:13" x14ac:dyDescent="0.2">
      <c r="D92" s="28"/>
      <c r="E92" s="29"/>
    </row>
    <row r="93" spans="1:13" x14ac:dyDescent="0.2">
      <c r="D93" s="28"/>
      <c r="E93" s="29"/>
    </row>
    <row r="94" spans="1:13" x14ac:dyDescent="0.2">
      <c r="D94" s="28"/>
      <c r="E94" s="29"/>
    </row>
    <row r="95" spans="1:13" x14ac:dyDescent="0.2">
      <c r="E95" s="29"/>
      <c r="J95" s="6"/>
      <c r="M95" s="6"/>
    </row>
    <row r="96" spans="1:13" x14ac:dyDescent="0.2">
      <c r="E96" s="29"/>
      <c r="J96" s="6"/>
      <c r="M96" s="6"/>
    </row>
    <row r="97" spans="5:13" x14ac:dyDescent="0.2">
      <c r="E97" s="2"/>
      <c r="G97" t="s">
        <v>18</v>
      </c>
      <c r="J97" s="7"/>
      <c r="M97" s="7"/>
    </row>
    <row r="98" spans="5:13" x14ac:dyDescent="0.2">
      <c r="E98" s="29"/>
      <c r="J98" s="7"/>
      <c r="M98" s="7"/>
    </row>
    <row r="99" spans="5:13" x14ac:dyDescent="0.2">
      <c r="E99" s="2"/>
    </row>
    <row r="100" spans="5:13" x14ac:dyDescent="0.2">
      <c r="E100" s="2"/>
      <c r="I100" t="s">
        <v>29</v>
      </c>
      <c r="L100" t="s">
        <v>52</v>
      </c>
    </row>
    <row r="101" spans="5:13" x14ac:dyDescent="0.2">
      <c r="E101" s="29"/>
      <c r="G101" s="28" t="s">
        <v>27</v>
      </c>
    </row>
    <row r="102" spans="5:13" x14ac:dyDescent="0.2">
      <c r="E102" s="29"/>
      <c r="G102" s="28" t="s">
        <v>190</v>
      </c>
    </row>
    <row r="103" spans="5:13" x14ac:dyDescent="0.2">
      <c r="E103" s="29"/>
      <c r="G103" s="28" t="s">
        <v>109</v>
      </c>
    </row>
    <row r="104" spans="5:13" x14ac:dyDescent="0.2">
      <c r="E104" s="29"/>
      <c r="G104" s="28"/>
    </row>
    <row r="105" spans="5:13" x14ac:dyDescent="0.2">
      <c r="E105" s="29"/>
      <c r="G105" s="28"/>
    </row>
    <row r="106" spans="5:13" x14ac:dyDescent="0.2">
      <c r="E106" s="29" t="s">
        <v>243</v>
      </c>
      <c r="F106" s="4">
        <f>IF('Design Calculator'!F55="YES", Equations!F77, Equations!F57)*'Device Parmaters'!C39*1000/'Device Parmaters'!E43*0.001</f>
        <v>87.073684210526309</v>
      </c>
      <c r="G106" s="28" t="s">
        <v>8</v>
      </c>
    </row>
    <row r="107" spans="5:13" x14ac:dyDescent="0.2">
      <c r="E107" s="29" t="s">
        <v>11</v>
      </c>
      <c r="F107" s="4">
        <f>IF('Design Calculator'!F55="YES", Equations!F77, Equations!F57)*0.001*'Device Parmaters'!D39*1000/'Device Parmaters'!D43</f>
        <v>146.66666666666666</v>
      </c>
      <c r="G107" s="28" t="s">
        <v>8</v>
      </c>
    </row>
    <row r="108" spans="5:13" x14ac:dyDescent="0.2">
      <c r="E108" s="29" t="s">
        <v>244</v>
      </c>
      <c r="F108" s="4">
        <f>IF('Design Calculator'!F55="YES", Equations!F77, Equations!F57)*0.001*'Device Parmaters'!E39*1000/'Device Parmaters'!C43</f>
        <v>366.08000000000004</v>
      </c>
      <c r="G108" s="28" t="s">
        <v>8</v>
      </c>
    </row>
    <row r="109" spans="5:13" x14ac:dyDescent="0.2">
      <c r="E109" s="29" t="s">
        <v>245</v>
      </c>
      <c r="F109">
        <f>IF('Design Calculator'!F55="YES", Equations!F77, Equations!F57)*(H109+I109+J109)</f>
        <v>1920.6000000000001</v>
      </c>
      <c r="G109" s="28" t="s">
        <v>8</v>
      </c>
      <c r="H109">
        <f>(('Device Parmaters'!C39-'Device Parmaters'!E40)/'Device Parmaters'!E45)*7</f>
        <v>0.12199999999999997</v>
      </c>
      <c r="I109">
        <f>(('Device Parmaters'!C39-'Device Parmaters'!C40)/'Device Parmaters'!D46)*8</f>
        <v>8.2560000000000002</v>
      </c>
      <c r="J109">
        <f>(('Device Parmaters'!C40-'Device Parmaters'!D41)/'Device Parmaters'!D46)</f>
        <v>0.35199999999999998</v>
      </c>
    </row>
    <row r="110" spans="5:13" x14ac:dyDescent="0.2">
      <c r="E110" s="29" t="s">
        <v>12</v>
      </c>
      <c r="F110">
        <f>IF('Design Calculator'!F55="YES", Equations!F77, Equations!F57)*(H110+I110+J110)</f>
        <v>2069.4235294117652</v>
      </c>
      <c r="G110" s="28" t="s">
        <v>8</v>
      </c>
      <c r="H110">
        <f>(('Device Parmaters'!D39-'Device Parmaters'!D40)/'Device Parmaters'!D45)*7</f>
        <v>0.22647058823529415</v>
      </c>
      <c r="I110">
        <f>(('Device Parmaters'!D39-'Device Parmaters'!D40)/'Device Parmaters'!D46)*8</f>
        <v>8.8000000000000007</v>
      </c>
      <c r="J110">
        <f>(('Device Parmaters'!D40-'Device Parmaters'!D41)/'Device Parmaters'!D46)</f>
        <v>0.38</v>
      </c>
    </row>
    <row r="111" spans="5:13" x14ac:dyDescent="0.2">
      <c r="E111" s="29" t="s">
        <v>265</v>
      </c>
      <c r="F111">
        <f>IF('Design Calculator'!F55="YES", Equations!F77, Equations!F57)*(H111+I111+J111)</f>
        <v>2193.4199999999996</v>
      </c>
      <c r="G111" s="28" t="s">
        <v>8</v>
      </c>
      <c r="H111">
        <f>(('Device Parmaters'!E39-'Device Parmaters'!C40)/'Device Parmaters'!C45)*7</f>
        <v>0.47409090909090912</v>
      </c>
      <c r="I111">
        <f>(('Device Parmaters'!E39-'Device Parmaters'!E40)/'Device Parmaters'!D46)*8</f>
        <v>9.0879999999999992</v>
      </c>
      <c r="J111">
        <f>(('Device Parmaters'!E40-'Device Parmaters'!D41)/'Device Parmaters'!D46)</f>
        <v>0.40800000000000003</v>
      </c>
    </row>
    <row r="112" spans="5:13" x14ac:dyDescent="0.2">
      <c r="E112" s="29" t="s">
        <v>264</v>
      </c>
      <c r="F112" t="e">
        <f>(1+'Design Calculator'!#REF!/'Design Calculator'!#REF!)*'Device Parmaters'!C51</f>
        <v>#REF!</v>
      </c>
      <c r="G112" s="28"/>
    </row>
    <row r="113" spans="2:12" x14ac:dyDescent="0.2">
      <c r="B113" s="192"/>
      <c r="E113" s="29" t="s">
        <v>263</v>
      </c>
      <c r="F113" t="e">
        <f>(1+'Design Calculator'!#REF!/'Design Calculator'!#REF!)*'Device Parmaters'!D51</f>
        <v>#REF!</v>
      </c>
      <c r="G113" s="28"/>
    </row>
    <row r="114" spans="2:12" x14ac:dyDescent="0.2">
      <c r="E114" s="29" t="s">
        <v>262</v>
      </c>
      <c r="F114" t="e">
        <f>(1+'Design Calculator'!#REF!/'Design Calculator'!#REF!)*'Device Parmaters'!E51</f>
        <v>#REF!</v>
      </c>
    </row>
    <row r="115" spans="2:12" x14ac:dyDescent="0.2">
      <c r="E115" s="29" t="s">
        <v>266</v>
      </c>
      <c r="F115" t="e">
        <f>('Design Calculator'!#REF!*'Device Parmaters'!C52)</f>
        <v>#REF!</v>
      </c>
    </row>
    <row r="116" spans="2:12" x14ac:dyDescent="0.2">
      <c r="E116" s="29" t="s">
        <v>267</v>
      </c>
      <c r="F116" t="e">
        <f>('Design Calculator'!#REF!*'Device Parmaters'!$D$52)</f>
        <v>#REF!</v>
      </c>
    </row>
    <row r="117" spans="2:12" x14ac:dyDescent="0.2">
      <c r="E117" s="29" t="s">
        <v>268</v>
      </c>
      <c r="F117" t="e">
        <f>('Design Calculator'!#REF!*'Device Parmaters'!$E$52)</f>
        <v>#REF!</v>
      </c>
    </row>
    <row r="118" spans="2:12" x14ac:dyDescent="0.2">
      <c r="E118" s="29"/>
    </row>
    <row r="119" spans="2:12" x14ac:dyDescent="0.2">
      <c r="E119" s="29"/>
    </row>
    <row r="120" spans="2:12" x14ac:dyDescent="0.2">
      <c r="D120" s="23"/>
      <c r="I120" t="s">
        <v>30</v>
      </c>
      <c r="L120" t="s">
        <v>53</v>
      </c>
    </row>
    <row r="121" spans="2:12" x14ac:dyDescent="0.2">
      <c r="D121" s="23"/>
      <c r="I121" t="s">
        <v>31</v>
      </c>
      <c r="L121" t="s">
        <v>54</v>
      </c>
    </row>
    <row r="122" spans="2:12" x14ac:dyDescent="0.2">
      <c r="D122" s="23"/>
      <c r="I122" t="s">
        <v>32</v>
      </c>
      <c r="L122" t="s">
        <v>55</v>
      </c>
    </row>
    <row r="125" spans="2:12" x14ac:dyDescent="0.2">
      <c r="E125" s="2" t="s">
        <v>21</v>
      </c>
    </row>
    <row r="126" spans="2:12" x14ac:dyDescent="0.2">
      <c r="E126" s="2" t="s">
        <v>22</v>
      </c>
    </row>
    <row r="127" spans="2:12" x14ac:dyDescent="0.2">
      <c r="E127" s="2"/>
      <c r="F127" s="217" t="s">
        <v>27</v>
      </c>
      <c r="G127" s="217" t="s">
        <v>28</v>
      </c>
    </row>
    <row r="128" spans="2:12" x14ac:dyDescent="0.2">
      <c r="E128" s="2" t="s">
        <v>35</v>
      </c>
      <c r="F128" s="216">
        <f>('Design Calculator'!AP98-'Design Calculator'!AP99)*1000/22</f>
        <v>181.81818181818181</v>
      </c>
      <c r="G128" s="216">
        <f>('Design Calculator'!AP98-'Design Calculator'!AP99)*1000/22</f>
        <v>181.81818181818181</v>
      </c>
    </row>
    <row r="129" spans="2:7" x14ac:dyDescent="0.2">
      <c r="E129" s="2" t="s">
        <v>34</v>
      </c>
      <c r="F129" s="216">
        <f>(2.5*F128/('Design Calculator'!AP99-2.5))-F130</f>
        <v>5.4946903349518372</v>
      </c>
      <c r="G129" s="216">
        <f>2.5*G128/('Design Calculator'!AP99-2.5)</f>
        <v>13.568521031207597</v>
      </c>
    </row>
    <row r="130" spans="2:7" x14ac:dyDescent="0.2">
      <c r="E130" s="2" t="s">
        <v>33</v>
      </c>
      <c r="F130" s="216">
        <f>2.5*F128*'Design Calculator'!AP99/('Design Calculator'!AP100*('Design Calculator'!AP99-2.5))</f>
        <v>8.0738306962557598</v>
      </c>
      <c r="G130" s="216">
        <f>('Design Calculator'!AP100-'Design Calculator'!AP101)*1000/22</f>
        <v>113.63636363636364</v>
      </c>
    </row>
    <row r="131" spans="2:7" x14ac:dyDescent="0.2">
      <c r="E131" s="2" t="s">
        <v>36</v>
      </c>
      <c r="F131" s="217"/>
      <c r="G131" s="216">
        <f>2.5*G130/('Design Calculator'!AP100-2.5)</f>
        <v>4.8981191222570537</v>
      </c>
    </row>
    <row r="132" spans="2:7" x14ac:dyDescent="0.2">
      <c r="B132" s="10"/>
      <c r="C132" s="11"/>
      <c r="D132" s="11"/>
      <c r="E132" s="12" t="s">
        <v>40</v>
      </c>
      <c r="F132" s="216">
        <f>(2.45+('Design Calculator'!F106*((2.45/('Design Calculator'!F107+'Design Calculator'!F108))+10/1000)))</f>
        <v>37.324114158636036</v>
      </c>
      <c r="G132" s="216">
        <f>(2.45+('Design Calculator'!F$106*((2.45/'Design Calculator'!F$107)+(10/1000))))</f>
        <v>85.49040072859745</v>
      </c>
    </row>
    <row r="133" spans="2:7" x14ac:dyDescent="0.2">
      <c r="B133" s="13"/>
      <c r="C133" s="9"/>
      <c r="D133" s="9"/>
      <c r="E133" s="14" t="s">
        <v>41</v>
      </c>
      <c r="F133" s="216">
        <f>(2.5+('Design Calculator'!F106*((2.5/('Design Calculator'!F107+'Design Calculator'!F108))+22/1000)))</f>
        <v>40.232687916975536</v>
      </c>
      <c r="G133" s="216">
        <f>(2.5+('Design Calculator'!F$106*((2.5/'Design Calculator'!F$107)+(22/1000))))</f>
        <v>89.381959927140258</v>
      </c>
    </row>
    <row r="134" spans="2:7" x14ac:dyDescent="0.2">
      <c r="B134" s="15"/>
      <c r="C134" s="16"/>
      <c r="D134" s="16"/>
      <c r="E134" s="17" t="s">
        <v>42</v>
      </c>
      <c r="F134" s="216">
        <f>(2.55+('Design Calculator'!F106*((2.55/('Design Calculator'!F107+'Design Calculator'!F108))+34/1000)))</f>
        <v>43.141261675315043</v>
      </c>
      <c r="G134" s="216">
        <f>(2.55+('Design Calculator'!F$106*((2.55/'Design Calculator'!F$107)+(34/1000))))</f>
        <v>93.273519125683052</v>
      </c>
    </row>
    <row r="135" spans="2:7" x14ac:dyDescent="0.2">
      <c r="E135" s="3" t="s">
        <v>43</v>
      </c>
      <c r="F135" s="216">
        <f>(2.45*('Design Calculator'!F106+'Design Calculator'!F107+'Design Calculator'!F108)/('Design Calculator'!F107+'Design Calculator'!F108))</f>
        <v>35.504114158636028</v>
      </c>
      <c r="G135" s="216">
        <f>(2.45*('Design Calculator'!F$106+'Design Calculator'!F$107)/'Design Calculator'!F$107)</f>
        <v>83.670400728597457</v>
      </c>
    </row>
    <row r="136" spans="2:7" x14ac:dyDescent="0.2">
      <c r="E136" s="3" t="s">
        <v>44</v>
      </c>
      <c r="F136" s="216">
        <f>(2.5*('Design Calculator'!F106+'Design Calculator'!F107+'Design Calculator'!F108)/('Design Calculator'!F107+'Design Calculator'!F108))</f>
        <v>36.228687916975538</v>
      </c>
      <c r="G136" s="216">
        <f>(2.5*('Design Calculator'!F$106+'Design Calculator'!F$107)/'Design Calculator'!F$107)</f>
        <v>85.377959927140253</v>
      </c>
    </row>
    <row r="137" spans="2:7" x14ac:dyDescent="0.2">
      <c r="E137" s="3" t="s">
        <v>45</v>
      </c>
      <c r="F137" s="216">
        <f>(2.55*('Design Calculator'!F106+'Design Calculator'!F107+'Design Calculator'!F108)/('Design Calculator'!F107+'Design Calculator'!F108))</f>
        <v>36.953261675315048</v>
      </c>
      <c r="G137" s="216">
        <f>(2.55*('Design Calculator'!F$106+'Design Calculator'!F$107)/'Design Calculator'!F$107)</f>
        <v>87.085519125683049</v>
      </c>
    </row>
    <row r="138" spans="2:7" x14ac:dyDescent="0.2">
      <c r="B138" s="10"/>
      <c r="C138" s="11"/>
      <c r="D138" s="11"/>
      <c r="E138" s="12" t="s">
        <v>46</v>
      </c>
      <c r="F138" s="216">
        <f>(2.43*('Design Calculator'!F$106+'Design Calculator'!F$107+'Design Calculator'!F$108)/'Design Calculator'!F$108)</f>
        <v>59.380087500000009</v>
      </c>
      <c r="G138" s="216">
        <f>(2.43*('Design Calculator'!F$108+'Design Calculator'!F$109)/'Design Calculator'!F$109)</f>
        <v>7.3515189873417714</v>
      </c>
    </row>
    <row r="139" spans="2:7" x14ac:dyDescent="0.2">
      <c r="B139" s="13"/>
      <c r="C139" s="9"/>
      <c r="D139" s="9"/>
      <c r="E139" s="14" t="s">
        <v>47</v>
      </c>
      <c r="F139" s="216">
        <f>(2.5*('Design Calculator'!F$106+'Design Calculator'!F$107+'Design Calculator'!F$108)/'Design Calculator'!F$108)</f>
        <v>61.090625000000003</v>
      </c>
      <c r="G139" s="216">
        <f>(2.5*('Design Calculator'!F$108+'Design Calculator'!F$109)/'Design Calculator'!F$109)</f>
        <v>7.5632911392405058</v>
      </c>
    </row>
    <row r="140" spans="2:7" x14ac:dyDescent="0.2">
      <c r="B140" s="15"/>
      <c r="C140" s="16"/>
      <c r="D140" s="16"/>
      <c r="E140" s="17" t="s">
        <v>48</v>
      </c>
      <c r="F140" s="216">
        <f>(2.57*('Design Calculator'!F$106+'Design Calculator'!F$107+'Design Calculator'!F$108)/'Design Calculator'!F$108)</f>
        <v>62.801162499999997</v>
      </c>
      <c r="G140" s="216">
        <f>(2.57*('Design Calculator'!F$108+'Design Calculator'!F$109)/'Design Calculator'!F$109)</f>
        <v>7.7750632911392392</v>
      </c>
    </row>
    <row r="141" spans="2:7" x14ac:dyDescent="0.2">
      <c r="E141" s="3" t="s">
        <v>49</v>
      </c>
      <c r="F141" s="216">
        <f>(2.43+(('Design Calculator'!F$106+'Design Calculator'!F$107)*((2.43/'Design Calculator'!F$108)-(34/1000))))</f>
        <v>53.00542750000001</v>
      </c>
      <c r="G141" s="216">
        <f>(2.43+('Design Calculator'!F$108*((2.43/'Design Calculator'!F$109)-(34/1000))))</f>
        <v>7.079518987341773</v>
      </c>
    </row>
    <row r="142" spans="2:7" x14ac:dyDescent="0.2">
      <c r="E142" s="3" t="s">
        <v>50</v>
      </c>
      <c r="F142" s="216">
        <f>(2.5+(('Design Calculator'!F$106+'Design Calculator'!F$107)*((2.5/'Design Calculator'!F$108)-(22/1000))))</f>
        <v>56.965845000000002</v>
      </c>
      <c r="G142" s="216">
        <f>(2.5+('Design Calculator'!F$108*((2.5/'Design Calculator'!F$109)-(22/1000))))</f>
        <v>7.3872911392405056</v>
      </c>
    </row>
    <row r="143" spans="2:7" x14ac:dyDescent="0.2">
      <c r="E143" s="3" t="s">
        <v>51</v>
      </c>
      <c r="F143" s="216">
        <f>(2.57+(('Design Calculator'!F$106+'Design Calculator'!F$107)*((2.57/'Design Calculator'!F$108)-(10/1000))))</f>
        <v>60.9262625</v>
      </c>
      <c r="G143" s="216">
        <f>(2.57+('Design Calculator'!F$108*((2.57/'Design Calculator'!F$109)-(10/1000))))</f>
        <v>7.69506329113924</v>
      </c>
    </row>
    <row r="151" spans="5:7" x14ac:dyDescent="0.2">
      <c r="E151" s="29" t="s">
        <v>106</v>
      </c>
      <c r="F151" s="28" t="e">
        <f>'Design Calculator'!#REF!</f>
        <v>#REF!</v>
      </c>
      <c r="G151" s="28" t="s">
        <v>8</v>
      </c>
    </row>
    <row r="152" spans="5:7" x14ac:dyDescent="0.2">
      <c r="E152" s="29" t="s">
        <v>107</v>
      </c>
      <c r="F152" s="28">
        <f>'Design Calculator'!F15</f>
        <v>48</v>
      </c>
      <c r="G152" s="28" t="s">
        <v>89</v>
      </c>
    </row>
    <row r="153" spans="5:7" x14ac:dyDescent="0.2">
      <c r="E153" s="29" t="s">
        <v>108</v>
      </c>
      <c r="F153" t="e">
        <f>22/F152*F151</f>
        <v>#REF!</v>
      </c>
      <c r="G153" s="28" t="s">
        <v>109</v>
      </c>
    </row>
    <row r="174" spans="3:6" x14ac:dyDescent="0.2">
      <c r="C174" s="23" t="s">
        <v>59</v>
      </c>
    </row>
    <row r="175" spans="3:6" x14ac:dyDescent="0.2">
      <c r="E175" s="2" t="s">
        <v>60</v>
      </c>
      <c r="F175" s="1">
        <f>'Design Calculator'!F23</f>
        <v>2</v>
      </c>
    </row>
    <row r="176" spans="3:6" ht="15.75" x14ac:dyDescent="0.3">
      <c r="E176" s="2" t="s">
        <v>61</v>
      </c>
      <c r="F176" s="1">
        <f>'Design Calculator'!F50</f>
        <v>44</v>
      </c>
    </row>
    <row r="177" spans="2:24" x14ac:dyDescent="0.2">
      <c r="E177" s="2" t="s">
        <v>62</v>
      </c>
      <c r="F177" s="1">
        <f>'Design Calculator'!F16</f>
        <v>60.5</v>
      </c>
    </row>
    <row r="179" spans="2:24" x14ac:dyDescent="0.2">
      <c r="E179" s="2" t="s">
        <v>63</v>
      </c>
      <c r="F179" s="18">
        <f>F24</f>
        <v>22</v>
      </c>
    </row>
    <row r="180" spans="2:24" x14ac:dyDescent="0.2">
      <c r="E180" s="2" t="s">
        <v>64</v>
      </c>
      <c r="F180" s="18">
        <f>F25</f>
        <v>25</v>
      </c>
    </row>
    <row r="181" spans="2:24" x14ac:dyDescent="0.2">
      <c r="E181" s="2" t="s">
        <v>65</v>
      </c>
      <c r="F181" s="18">
        <f>F26</f>
        <v>28</v>
      </c>
    </row>
    <row r="183" spans="2:24" x14ac:dyDescent="0.2">
      <c r="E183" s="2" t="s">
        <v>66</v>
      </c>
      <c r="F183" s="6">
        <f>F46</f>
        <v>117.74647887323944</v>
      </c>
    </row>
    <row r="184" spans="2:24" x14ac:dyDescent="0.2">
      <c r="E184" s="2" t="s">
        <v>67</v>
      </c>
      <c r="F184" s="6">
        <f>F47</f>
        <v>154.92957746478874</v>
      </c>
    </row>
    <row r="185" spans="2:24" x14ac:dyDescent="0.2">
      <c r="E185" s="2" t="s">
        <v>68</v>
      </c>
      <c r="F185" s="6">
        <f>F48</f>
        <v>192.11267605633802</v>
      </c>
    </row>
    <row r="189" spans="2:24" x14ac:dyDescent="0.2">
      <c r="S189" s="207"/>
      <c r="T189" s="207"/>
      <c r="U189" s="207"/>
    </row>
    <row r="190" spans="2:24" x14ac:dyDescent="0.2">
      <c r="D190" t="s">
        <v>69</v>
      </c>
      <c r="E190" s="2"/>
      <c r="I190" t="s">
        <v>70</v>
      </c>
      <c r="N190" t="s">
        <v>85</v>
      </c>
      <c r="R190" s="28" t="s">
        <v>91</v>
      </c>
      <c r="S190" s="207"/>
      <c r="T190" s="207"/>
      <c r="U190" s="207"/>
    </row>
    <row r="191" spans="2:24" x14ac:dyDescent="0.2">
      <c r="D191" t="s">
        <v>71</v>
      </c>
      <c r="I191" t="s">
        <v>72</v>
      </c>
      <c r="N191" t="s">
        <v>77</v>
      </c>
      <c r="R191" s="28" t="s">
        <v>92</v>
      </c>
      <c r="S191" s="207"/>
      <c r="T191" s="207"/>
      <c r="U191" s="207"/>
    </row>
    <row r="192" spans="2:24" x14ac:dyDescent="0.2">
      <c r="B192" s="28" t="s">
        <v>133</v>
      </c>
      <c r="D192" s="5" t="s">
        <v>73</v>
      </c>
      <c r="E192" s="5" t="s">
        <v>74</v>
      </c>
      <c r="F192" s="127" t="s">
        <v>75</v>
      </c>
      <c r="G192" s="5" t="s">
        <v>76</v>
      </c>
      <c r="I192" s="5" t="s">
        <v>73</v>
      </c>
      <c r="J192" s="5" t="s">
        <v>74</v>
      </c>
      <c r="K192" s="5" t="s">
        <v>75</v>
      </c>
      <c r="L192" s="5" t="s">
        <v>76</v>
      </c>
      <c r="N192" t="s">
        <v>78</v>
      </c>
      <c r="R192" s="5" t="s">
        <v>73</v>
      </c>
      <c r="S192" s="188" t="s">
        <v>74</v>
      </c>
      <c r="T192" s="188" t="s">
        <v>75</v>
      </c>
      <c r="U192" s="188" t="s">
        <v>76</v>
      </c>
      <c r="V192" s="140" t="s">
        <v>84</v>
      </c>
      <c r="X192" s="141" t="s">
        <v>333</v>
      </c>
    </row>
    <row r="193" spans="2:25" x14ac:dyDescent="0.2">
      <c r="B193">
        <f>D193*F193</f>
        <v>125.17957746478874</v>
      </c>
      <c r="D193" s="5">
        <v>1</v>
      </c>
      <c r="E193" s="24">
        <f t="shared" ref="E193:E209" si="0">(1-$F$269)*F193</f>
        <v>93.884683098591552</v>
      </c>
      <c r="F193" s="24">
        <f t="shared" ref="F193:F224" si="1">($F$184+(D193-VINMAX_P)*$E$266/$E$267)/D193</f>
        <v>125.17957746478874</v>
      </c>
      <c r="G193" s="24">
        <f t="shared" ref="G193:G209" si="2">F193*(1+$F$269)</f>
        <v>156.47447183098592</v>
      </c>
      <c r="I193" s="5">
        <v>1</v>
      </c>
      <c r="J193" s="24">
        <f t="shared" ref="J193:J256" si="3">IF(E193&gt;$F$179,$F$179,E193)</f>
        <v>22</v>
      </c>
      <c r="K193" s="24">
        <f t="shared" ref="K193:K256" si="4">IF(F193&gt;$F$180,$F$180,F193)</f>
        <v>25</v>
      </c>
      <c r="L193" s="24">
        <f t="shared" ref="L193:L256" si="5">IF(G193&gt;$F$181,$F$181,G193)</f>
        <v>28</v>
      </c>
      <c r="N193" t="s">
        <v>79</v>
      </c>
      <c r="R193" s="5">
        <v>1</v>
      </c>
      <c r="S193" s="209">
        <f>IF($R193&gt;($F$177),0.0000000005,J193)</f>
        <v>22</v>
      </c>
      <c r="T193" s="209">
        <f>IF($R193&gt;($F$177),0.0000000005,K193)</f>
        <v>25</v>
      </c>
      <c r="U193" s="209">
        <f>IF($R193&gt;($F$177),0.0000000005,L193)</f>
        <v>28</v>
      </c>
      <c r="V193" s="24">
        <f>$X$193/R193</f>
        <v>203.46685975799764</v>
      </c>
      <c r="X193">
        <f>SOA!C25</f>
        <v>203.46685975799764</v>
      </c>
      <c r="Y193" s="28" t="s">
        <v>90</v>
      </c>
    </row>
    <row r="194" spans="2:25" x14ac:dyDescent="0.2">
      <c r="B194">
        <f t="shared" ref="B194:B209" si="6">D194*F194</f>
        <v>125.67957746478874</v>
      </c>
      <c r="D194" s="5">
        <v>2</v>
      </c>
      <c r="E194" s="24">
        <f t="shared" si="0"/>
        <v>47.129841549295776</v>
      </c>
      <c r="F194" s="24">
        <f t="shared" si="1"/>
        <v>62.839788732394368</v>
      </c>
      <c r="G194" s="24">
        <f t="shared" si="2"/>
        <v>78.54973591549296</v>
      </c>
      <c r="I194" s="5">
        <v>2</v>
      </c>
      <c r="J194" s="24">
        <f t="shared" si="3"/>
        <v>22</v>
      </c>
      <c r="K194" s="24">
        <f t="shared" si="4"/>
        <v>25</v>
      </c>
      <c r="L194" s="24">
        <f t="shared" si="5"/>
        <v>28</v>
      </c>
      <c r="R194" s="5">
        <v>2</v>
      </c>
      <c r="S194" s="209">
        <f>IF($R194&gt;($F$177),0.0000000005,J194)</f>
        <v>22</v>
      </c>
      <c r="T194" s="209">
        <f t="shared" ref="T194:T257" si="7">IF($R194&gt;($F$177),0.0000000005,K194)</f>
        <v>25</v>
      </c>
      <c r="U194" s="209">
        <f t="shared" ref="U194:U257" si="8">IF($R194&gt;($F$177),0.0000000005,L194)</f>
        <v>28</v>
      </c>
      <c r="V194" s="24">
        <f t="shared" ref="V194:V257" si="9">$X$193/R194</f>
        <v>101.73342987899882</v>
      </c>
    </row>
    <row r="195" spans="2:25" x14ac:dyDescent="0.2">
      <c r="B195">
        <f t="shared" si="6"/>
        <v>126.17957746478874</v>
      </c>
      <c r="D195" s="5">
        <v>3</v>
      </c>
      <c r="E195" s="24">
        <f t="shared" si="0"/>
        <v>31.544894366197184</v>
      </c>
      <c r="F195" s="24">
        <f t="shared" si="1"/>
        <v>42.059859154929576</v>
      </c>
      <c r="G195" s="24">
        <f t="shared" si="2"/>
        <v>52.574823943661968</v>
      </c>
      <c r="I195" s="5">
        <v>3</v>
      </c>
      <c r="J195" s="24">
        <f t="shared" si="3"/>
        <v>22</v>
      </c>
      <c r="K195" s="24">
        <f t="shared" si="4"/>
        <v>25</v>
      </c>
      <c r="L195" s="24">
        <f t="shared" si="5"/>
        <v>28</v>
      </c>
      <c r="O195" s="25" t="s">
        <v>80</v>
      </c>
      <c r="R195" s="5">
        <v>3</v>
      </c>
      <c r="S195" s="209">
        <f>IF($R195&gt;($F$177),0.0000000005,J195)</f>
        <v>22</v>
      </c>
      <c r="T195" s="209">
        <f t="shared" si="7"/>
        <v>25</v>
      </c>
      <c r="U195" s="209">
        <f t="shared" si="8"/>
        <v>28</v>
      </c>
      <c r="V195" s="24">
        <f t="shared" si="9"/>
        <v>67.822286585999208</v>
      </c>
    </row>
    <row r="196" spans="2:25" x14ac:dyDescent="0.2">
      <c r="B196">
        <f t="shared" si="6"/>
        <v>126.67957746478874</v>
      </c>
      <c r="D196" s="5">
        <v>4</v>
      </c>
      <c r="E196" s="24">
        <f t="shared" si="0"/>
        <v>23.752420774647888</v>
      </c>
      <c r="F196" s="24">
        <f t="shared" si="1"/>
        <v>31.669894366197184</v>
      </c>
      <c r="G196" s="24">
        <f t="shared" si="2"/>
        <v>39.58736795774648</v>
      </c>
      <c r="I196" s="5">
        <v>4</v>
      </c>
      <c r="J196" s="24">
        <f t="shared" si="3"/>
        <v>22</v>
      </c>
      <c r="K196" s="24">
        <f t="shared" si="4"/>
        <v>25</v>
      </c>
      <c r="L196" s="24">
        <f t="shared" si="5"/>
        <v>28</v>
      </c>
      <c r="N196" s="8" t="s">
        <v>73</v>
      </c>
      <c r="O196" s="26" t="s">
        <v>81</v>
      </c>
      <c r="R196" s="5">
        <v>4</v>
      </c>
      <c r="S196" s="209">
        <f t="shared" ref="S196:S257" si="10">IF($R196&gt;($F$177),0.0000000005,J196)</f>
        <v>22</v>
      </c>
      <c r="T196" s="209">
        <f t="shared" si="7"/>
        <v>25</v>
      </c>
      <c r="U196" s="209">
        <f t="shared" si="8"/>
        <v>28</v>
      </c>
      <c r="V196" s="24">
        <f t="shared" si="9"/>
        <v>50.86671493949941</v>
      </c>
    </row>
    <row r="197" spans="2:25" x14ac:dyDescent="0.2">
      <c r="B197">
        <f t="shared" si="6"/>
        <v>127.17957746478874</v>
      </c>
      <c r="D197" s="5">
        <v>5</v>
      </c>
      <c r="E197" s="24">
        <f t="shared" si="0"/>
        <v>19.07693661971831</v>
      </c>
      <c r="F197" s="24">
        <f t="shared" si="1"/>
        <v>25.435915492957747</v>
      </c>
      <c r="G197" s="24">
        <f t="shared" si="2"/>
        <v>31.794894366197184</v>
      </c>
      <c r="I197" s="5">
        <v>5</v>
      </c>
      <c r="J197" s="24">
        <f t="shared" si="3"/>
        <v>19.07693661971831</v>
      </c>
      <c r="K197" s="24">
        <f t="shared" si="4"/>
        <v>25</v>
      </c>
      <c r="L197" s="24">
        <f t="shared" si="5"/>
        <v>28</v>
      </c>
      <c r="N197" s="5">
        <v>1</v>
      </c>
      <c r="O197" s="5">
        <f>'FET Data'!F40</f>
        <v>203.46685975799764</v>
      </c>
      <c r="P197" t="s">
        <v>82</v>
      </c>
      <c r="R197" s="5">
        <v>5</v>
      </c>
      <c r="S197" s="209">
        <f t="shared" si="10"/>
        <v>19.07693661971831</v>
      </c>
      <c r="T197" s="209">
        <f t="shared" si="7"/>
        <v>25</v>
      </c>
      <c r="U197" s="209">
        <f t="shared" si="8"/>
        <v>28</v>
      </c>
      <c r="V197" s="24">
        <f t="shared" si="9"/>
        <v>40.693371951599531</v>
      </c>
    </row>
    <row r="198" spans="2:25" x14ac:dyDescent="0.2">
      <c r="B198">
        <f t="shared" si="6"/>
        <v>127.67957746478874</v>
      </c>
      <c r="D198" s="5">
        <v>6</v>
      </c>
      <c r="E198" s="24">
        <f t="shared" si="0"/>
        <v>15.959947183098592</v>
      </c>
      <c r="F198" s="24">
        <f t="shared" si="1"/>
        <v>21.279929577464788</v>
      </c>
      <c r="G198" s="24">
        <f t="shared" si="2"/>
        <v>26.599911971830984</v>
      </c>
      <c r="I198" s="5">
        <v>6</v>
      </c>
      <c r="J198" s="24">
        <f t="shared" si="3"/>
        <v>15.959947183098592</v>
      </c>
      <c r="K198" s="24">
        <f t="shared" si="4"/>
        <v>21.279929577464788</v>
      </c>
      <c r="L198" s="24">
        <f t="shared" si="5"/>
        <v>26.599911971830984</v>
      </c>
      <c r="N198" s="5">
        <v>2</v>
      </c>
      <c r="O198" s="24">
        <f>O201+((O197-O201)*3/7)</f>
        <v>184.08906359056928</v>
      </c>
      <c r="R198" s="5">
        <v>6</v>
      </c>
      <c r="S198" s="209">
        <f t="shared" si="10"/>
        <v>15.959947183098592</v>
      </c>
      <c r="T198" s="209">
        <f t="shared" si="7"/>
        <v>21.279929577464788</v>
      </c>
      <c r="U198" s="209">
        <f t="shared" si="8"/>
        <v>26.599911971830984</v>
      </c>
      <c r="V198" s="24">
        <f t="shared" si="9"/>
        <v>33.911143292999604</v>
      </c>
    </row>
    <row r="199" spans="2:25" x14ac:dyDescent="0.2">
      <c r="B199">
        <f t="shared" si="6"/>
        <v>128.17957746478874</v>
      </c>
      <c r="D199" s="5">
        <v>7</v>
      </c>
      <c r="E199" s="24">
        <f t="shared" si="0"/>
        <v>13.73352615694165</v>
      </c>
      <c r="F199" s="24">
        <f t="shared" si="1"/>
        <v>18.311368209255534</v>
      </c>
      <c r="G199" s="24">
        <f t="shared" si="2"/>
        <v>22.889210261569417</v>
      </c>
      <c r="I199" s="5">
        <v>7</v>
      </c>
      <c r="J199" s="24">
        <f t="shared" si="3"/>
        <v>13.73352615694165</v>
      </c>
      <c r="K199" s="24">
        <f t="shared" si="4"/>
        <v>18.311368209255534</v>
      </c>
      <c r="L199" s="24">
        <f t="shared" si="5"/>
        <v>22.889210261569417</v>
      </c>
      <c r="N199" s="5">
        <v>3</v>
      </c>
      <c r="O199" s="24">
        <f>O201+((O197-O201)*2/8)</f>
        <v>178.03350228824792</v>
      </c>
      <c r="R199" s="5">
        <v>7</v>
      </c>
      <c r="S199" s="209">
        <f t="shared" si="10"/>
        <v>13.73352615694165</v>
      </c>
      <c r="T199" s="209">
        <f t="shared" si="7"/>
        <v>18.311368209255534</v>
      </c>
      <c r="U199" s="209">
        <f t="shared" si="8"/>
        <v>22.889210261569417</v>
      </c>
      <c r="V199" s="24">
        <f t="shared" si="9"/>
        <v>29.066694251142518</v>
      </c>
    </row>
    <row r="200" spans="2:25" x14ac:dyDescent="0.2">
      <c r="B200">
        <f t="shared" si="6"/>
        <v>128.67957746478874</v>
      </c>
      <c r="D200" s="5">
        <v>8</v>
      </c>
      <c r="E200" s="24">
        <f t="shared" si="0"/>
        <v>12.063710387323944</v>
      </c>
      <c r="F200" s="24">
        <f t="shared" si="1"/>
        <v>16.084947183098592</v>
      </c>
      <c r="G200" s="24">
        <f t="shared" si="2"/>
        <v>20.10618397887324</v>
      </c>
      <c r="I200" s="5">
        <v>8</v>
      </c>
      <c r="J200" s="24">
        <f t="shared" si="3"/>
        <v>12.063710387323944</v>
      </c>
      <c r="K200" s="24">
        <f t="shared" si="4"/>
        <v>16.084947183098592</v>
      </c>
      <c r="L200" s="24">
        <f t="shared" si="5"/>
        <v>20.10618397887324</v>
      </c>
      <c r="N200" s="5">
        <v>4</v>
      </c>
      <c r="O200" s="24">
        <f>O201+((O197-O201)*1/9)</f>
        <v>173.32362127533131</v>
      </c>
      <c r="R200" s="5">
        <v>8</v>
      </c>
      <c r="S200" s="209">
        <f t="shared" si="10"/>
        <v>12.063710387323944</v>
      </c>
      <c r="T200" s="209">
        <f t="shared" si="7"/>
        <v>16.084947183098592</v>
      </c>
      <c r="U200" s="209">
        <f t="shared" si="8"/>
        <v>20.10618397887324</v>
      </c>
      <c r="V200" s="24">
        <f t="shared" si="9"/>
        <v>25.433357469749705</v>
      </c>
    </row>
    <row r="201" spans="2:25" x14ac:dyDescent="0.2">
      <c r="B201">
        <f t="shared" si="6"/>
        <v>129.17957746478874</v>
      </c>
      <c r="D201" s="5">
        <v>9</v>
      </c>
      <c r="E201" s="24">
        <f t="shared" si="0"/>
        <v>10.764964788732394</v>
      </c>
      <c r="F201" s="24">
        <f t="shared" si="1"/>
        <v>14.353286384976526</v>
      </c>
      <c r="G201" s="24">
        <f t="shared" si="2"/>
        <v>17.941607981220656</v>
      </c>
      <c r="I201" s="5">
        <v>9</v>
      </c>
      <c r="J201" s="24">
        <f t="shared" si="3"/>
        <v>10.764964788732394</v>
      </c>
      <c r="K201" s="24">
        <f t="shared" si="4"/>
        <v>14.353286384976526</v>
      </c>
      <c r="L201" s="24">
        <f t="shared" si="5"/>
        <v>17.941607981220656</v>
      </c>
      <c r="N201" s="5">
        <v>5</v>
      </c>
      <c r="O201" s="24">
        <f>'FET Data'!F41</f>
        <v>169.55571646499803</v>
      </c>
      <c r="P201" t="s">
        <v>83</v>
      </c>
      <c r="R201" s="5">
        <v>9</v>
      </c>
      <c r="S201" s="209">
        <f t="shared" si="10"/>
        <v>10.764964788732394</v>
      </c>
      <c r="T201" s="209">
        <f t="shared" si="7"/>
        <v>14.353286384976526</v>
      </c>
      <c r="U201" s="209">
        <f t="shared" si="8"/>
        <v>17.941607981220656</v>
      </c>
      <c r="V201" s="24">
        <f t="shared" si="9"/>
        <v>22.607428861999736</v>
      </c>
    </row>
    <row r="202" spans="2:25" x14ac:dyDescent="0.2">
      <c r="B202">
        <f t="shared" si="6"/>
        <v>129.67957746478874</v>
      </c>
      <c r="D202" s="5">
        <v>10</v>
      </c>
      <c r="E202" s="24">
        <f t="shared" si="0"/>
        <v>9.7259683098591552</v>
      </c>
      <c r="F202" s="24">
        <f t="shared" si="1"/>
        <v>12.967957746478874</v>
      </c>
      <c r="G202" s="24">
        <f t="shared" si="2"/>
        <v>16.209947183098592</v>
      </c>
      <c r="I202" s="5">
        <v>10</v>
      </c>
      <c r="J202" s="24">
        <f t="shared" si="3"/>
        <v>9.7259683098591552</v>
      </c>
      <c r="K202" s="24">
        <f t="shared" si="4"/>
        <v>12.967957746478874</v>
      </c>
      <c r="L202" s="24">
        <f t="shared" si="5"/>
        <v>16.209947183098592</v>
      </c>
      <c r="N202" s="5">
        <v>6</v>
      </c>
      <c r="O202" s="24">
        <f>O$206+((O$201-O$206)*4/6)</f>
        <v>115.29788719619864</v>
      </c>
      <c r="R202" s="5">
        <v>10</v>
      </c>
      <c r="S202" s="209">
        <f t="shared" si="10"/>
        <v>9.7259683098591552</v>
      </c>
      <c r="T202" s="209">
        <f t="shared" si="7"/>
        <v>12.967957746478874</v>
      </c>
      <c r="U202" s="209">
        <f t="shared" si="8"/>
        <v>16.209947183098592</v>
      </c>
      <c r="V202" s="24">
        <f t="shared" si="9"/>
        <v>20.346685975799765</v>
      </c>
    </row>
    <row r="203" spans="2:25" x14ac:dyDescent="0.2">
      <c r="B203">
        <f t="shared" si="6"/>
        <v>130.17957746478874</v>
      </c>
      <c r="D203" s="5">
        <v>11</v>
      </c>
      <c r="E203" s="24">
        <f t="shared" si="0"/>
        <v>8.8758802816901419</v>
      </c>
      <c r="F203" s="24">
        <f t="shared" si="1"/>
        <v>11.834507042253522</v>
      </c>
      <c r="G203" s="24">
        <f t="shared" si="2"/>
        <v>14.793133802816902</v>
      </c>
      <c r="I203" s="5">
        <v>11</v>
      </c>
      <c r="J203" s="24">
        <f t="shared" si="3"/>
        <v>8.8758802816901419</v>
      </c>
      <c r="K203" s="24">
        <f t="shared" si="4"/>
        <v>11.834507042253522</v>
      </c>
      <c r="L203" s="24">
        <f t="shared" si="5"/>
        <v>14.793133802816902</v>
      </c>
      <c r="N203" s="5">
        <v>7</v>
      </c>
      <c r="O203" s="24">
        <f>O$206+((O$201-O$206)*3/7)</f>
        <v>76.542294861341958</v>
      </c>
      <c r="R203" s="5">
        <v>11</v>
      </c>
      <c r="S203" s="209">
        <f t="shared" si="10"/>
        <v>8.8758802816901419</v>
      </c>
      <c r="T203" s="209">
        <f t="shared" si="7"/>
        <v>11.834507042253522</v>
      </c>
      <c r="U203" s="209">
        <f t="shared" si="8"/>
        <v>14.793133802816902</v>
      </c>
      <c r="V203" s="24">
        <f t="shared" si="9"/>
        <v>18.496987250727059</v>
      </c>
    </row>
    <row r="204" spans="2:25" x14ac:dyDescent="0.2">
      <c r="B204">
        <f t="shared" si="6"/>
        <v>130.67957746478874</v>
      </c>
      <c r="D204" s="5">
        <v>12</v>
      </c>
      <c r="E204" s="24">
        <f t="shared" si="0"/>
        <v>8.167473591549296</v>
      </c>
      <c r="F204" s="24">
        <f t="shared" si="1"/>
        <v>10.889964788732394</v>
      </c>
      <c r="G204" s="24">
        <f t="shared" si="2"/>
        <v>13.612455985915492</v>
      </c>
      <c r="I204" s="5">
        <v>12</v>
      </c>
      <c r="J204" s="24">
        <f t="shared" si="3"/>
        <v>8.167473591549296</v>
      </c>
      <c r="K204" s="24">
        <f t="shared" si="4"/>
        <v>10.889964788732394</v>
      </c>
      <c r="L204" s="24">
        <f t="shared" si="5"/>
        <v>13.612455985915492</v>
      </c>
      <c r="N204" s="5">
        <v>8</v>
      </c>
      <c r="O204" s="24">
        <f>O$206+((O$201-O$206)*2/8)</f>
        <v>47.475600610199443</v>
      </c>
      <c r="R204" s="5">
        <v>12</v>
      </c>
      <c r="S204" s="209">
        <f t="shared" si="10"/>
        <v>8.167473591549296</v>
      </c>
      <c r="T204" s="209">
        <f t="shared" si="7"/>
        <v>10.889964788732394</v>
      </c>
      <c r="U204" s="209">
        <f t="shared" si="8"/>
        <v>13.612455985915492</v>
      </c>
      <c r="V204" s="24">
        <f t="shared" si="9"/>
        <v>16.955571646499802</v>
      </c>
    </row>
    <row r="205" spans="2:25" x14ac:dyDescent="0.2">
      <c r="B205">
        <f t="shared" si="6"/>
        <v>131.17957746478874</v>
      </c>
      <c r="D205" s="5">
        <v>13</v>
      </c>
      <c r="E205" s="24">
        <f t="shared" si="0"/>
        <v>7.5680525460455046</v>
      </c>
      <c r="F205" s="24">
        <f t="shared" si="1"/>
        <v>10.090736728060673</v>
      </c>
      <c r="G205" s="24">
        <f t="shared" si="2"/>
        <v>12.613420910075842</v>
      </c>
      <c r="I205" s="5">
        <v>13</v>
      </c>
      <c r="J205" s="24">
        <f t="shared" si="3"/>
        <v>7.5680525460455046</v>
      </c>
      <c r="K205" s="24">
        <f t="shared" si="4"/>
        <v>10.090736728060673</v>
      </c>
      <c r="L205" s="24">
        <f t="shared" si="5"/>
        <v>12.613420910075842</v>
      </c>
      <c r="N205" s="5">
        <v>9</v>
      </c>
      <c r="O205" s="24">
        <f>O$206+((O$201-O$206)*1/9)</f>
        <v>24.868171748199707</v>
      </c>
      <c r="R205" s="5">
        <v>13</v>
      </c>
      <c r="S205" s="209">
        <f t="shared" si="10"/>
        <v>7.5680525460455046</v>
      </c>
      <c r="T205" s="209">
        <f t="shared" si="7"/>
        <v>10.090736728060673</v>
      </c>
      <c r="U205" s="209">
        <f t="shared" si="8"/>
        <v>12.613420910075842</v>
      </c>
      <c r="V205" s="24">
        <f t="shared" si="9"/>
        <v>15.651296904461358</v>
      </c>
    </row>
    <row r="206" spans="2:25" x14ac:dyDescent="0.2">
      <c r="B206">
        <f t="shared" si="6"/>
        <v>131.67957746478874</v>
      </c>
      <c r="D206" s="5">
        <v>14</v>
      </c>
      <c r="E206" s="24">
        <f t="shared" si="0"/>
        <v>7.0542630784708251</v>
      </c>
      <c r="F206" s="24">
        <f t="shared" si="1"/>
        <v>9.4056841046277668</v>
      </c>
      <c r="G206" s="24">
        <f t="shared" si="2"/>
        <v>11.757105130784709</v>
      </c>
      <c r="I206" s="5">
        <v>14</v>
      </c>
      <c r="J206" s="24">
        <f t="shared" si="3"/>
        <v>7.0542630784708251</v>
      </c>
      <c r="K206" s="24">
        <f t="shared" si="4"/>
        <v>9.4056841046277668</v>
      </c>
      <c r="L206" s="24">
        <f t="shared" si="5"/>
        <v>11.757105130784709</v>
      </c>
      <c r="N206" s="5">
        <v>10</v>
      </c>
      <c r="O206" s="24">
        <f>'FET Data'!F42</f>
        <v>6.7822286585999212</v>
      </c>
      <c r="P206" t="s">
        <v>83</v>
      </c>
      <c r="R206" s="5">
        <v>14</v>
      </c>
      <c r="S206" s="209">
        <f t="shared" si="10"/>
        <v>7.0542630784708251</v>
      </c>
      <c r="T206" s="209">
        <f t="shared" si="7"/>
        <v>9.4056841046277668</v>
      </c>
      <c r="U206" s="209">
        <f t="shared" si="8"/>
        <v>11.757105130784709</v>
      </c>
      <c r="V206" s="24">
        <f t="shared" si="9"/>
        <v>14.533347125571259</v>
      </c>
    </row>
    <row r="207" spans="2:25" x14ac:dyDescent="0.2">
      <c r="B207">
        <f t="shared" si="6"/>
        <v>132.17957746478874</v>
      </c>
      <c r="D207" s="5">
        <v>15</v>
      </c>
      <c r="E207" s="24">
        <f t="shared" si="0"/>
        <v>6.6089788732394368</v>
      </c>
      <c r="F207" s="24">
        <f t="shared" si="1"/>
        <v>8.8119718309859163</v>
      </c>
      <c r="G207" s="24">
        <f t="shared" si="2"/>
        <v>11.014964788732396</v>
      </c>
      <c r="I207" s="5">
        <v>15</v>
      </c>
      <c r="J207" s="24">
        <f t="shared" si="3"/>
        <v>6.6089788732394368</v>
      </c>
      <c r="K207" s="24">
        <f t="shared" si="4"/>
        <v>8.8119718309859163</v>
      </c>
      <c r="L207" s="24">
        <f t="shared" si="5"/>
        <v>11.014964788732396</v>
      </c>
      <c r="N207" s="5">
        <v>11</v>
      </c>
      <c r="O207" s="24">
        <f>O$211+((O$206-O$211)*4/6)</f>
        <v>5.642515302747042</v>
      </c>
      <c r="R207" s="5">
        <v>15</v>
      </c>
      <c r="S207" s="209">
        <f t="shared" si="10"/>
        <v>6.6089788732394368</v>
      </c>
      <c r="T207" s="209">
        <f t="shared" si="7"/>
        <v>8.8119718309859163</v>
      </c>
      <c r="U207" s="209">
        <f t="shared" si="8"/>
        <v>11.014964788732396</v>
      </c>
      <c r="V207" s="24">
        <f t="shared" si="9"/>
        <v>13.564457317199842</v>
      </c>
    </row>
    <row r="208" spans="2:25" x14ac:dyDescent="0.2">
      <c r="B208">
        <f t="shared" si="6"/>
        <v>132.67957746478874</v>
      </c>
      <c r="D208" s="5">
        <v>16</v>
      </c>
      <c r="E208" s="24">
        <f t="shared" si="0"/>
        <v>6.219355193661972</v>
      </c>
      <c r="F208" s="24">
        <f t="shared" si="1"/>
        <v>8.292473591549296</v>
      </c>
      <c r="G208" s="24">
        <f t="shared" si="2"/>
        <v>10.36559198943662</v>
      </c>
      <c r="I208" s="5">
        <v>16</v>
      </c>
      <c r="J208" s="24">
        <f t="shared" si="3"/>
        <v>6.219355193661972</v>
      </c>
      <c r="K208" s="24">
        <f t="shared" si="4"/>
        <v>8.292473591549296</v>
      </c>
      <c r="L208" s="24">
        <f t="shared" si="5"/>
        <v>10.36559198943662</v>
      </c>
      <c r="N208" s="5">
        <v>12</v>
      </c>
      <c r="O208" s="24">
        <f>O$211+((O$206-O$211)*3/7)</f>
        <v>4.8284343342806997</v>
      </c>
      <c r="R208" s="5">
        <v>16</v>
      </c>
      <c r="S208" s="209">
        <f t="shared" si="10"/>
        <v>6.219355193661972</v>
      </c>
      <c r="T208" s="209">
        <f t="shared" si="7"/>
        <v>8.292473591549296</v>
      </c>
      <c r="U208" s="209">
        <f t="shared" si="8"/>
        <v>10.36559198943662</v>
      </c>
      <c r="V208" s="24">
        <f t="shared" si="9"/>
        <v>12.716678734874852</v>
      </c>
    </row>
    <row r="209" spans="2:22" x14ac:dyDescent="0.2">
      <c r="B209">
        <f t="shared" si="6"/>
        <v>133.17957746478874</v>
      </c>
      <c r="D209" s="5">
        <v>17</v>
      </c>
      <c r="E209" s="24">
        <f t="shared" si="0"/>
        <v>5.8755695940347969</v>
      </c>
      <c r="F209" s="24">
        <f t="shared" si="1"/>
        <v>7.8340927920463965</v>
      </c>
      <c r="G209" s="24">
        <f t="shared" si="2"/>
        <v>9.7926159900579961</v>
      </c>
      <c r="I209" s="5">
        <v>17</v>
      </c>
      <c r="J209" s="24">
        <f t="shared" si="3"/>
        <v>5.8755695940347969</v>
      </c>
      <c r="K209" s="24">
        <f t="shared" si="4"/>
        <v>7.8340927920463965</v>
      </c>
      <c r="L209" s="24">
        <f t="shared" si="5"/>
        <v>9.7926159900579961</v>
      </c>
      <c r="N209" s="5">
        <v>13</v>
      </c>
      <c r="O209" s="24">
        <f>O$211+((O$206-O$211)*2/8)</f>
        <v>4.2178736079309429</v>
      </c>
      <c r="R209" s="5">
        <v>17</v>
      </c>
      <c r="S209" s="209">
        <f t="shared" si="10"/>
        <v>5.8755695940347969</v>
      </c>
      <c r="T209" s="209">
        <f t="shared" si="7"/>
        <v>7.8340927920463965</v>
      </c>
      <c r="U209" s="209">
        <f t="shared" si="8"/>
        <v>9.7926159900579961</v>
      </c>
      <c r="V209" s="24">
        <f t="shared" si="9"/>
        <v>11.968638809293978</v>
      </c>
    </row>
    <row r="210" spans="2:22" x14ac:dyDescent="0.2">
      <c r="D210" s="211">
        <v>18</v>
      </c>
      <c r="E210" s="24">
        <f t="shared" ref="E210:E257" si="11">(1-$F$269)*F210</f>
        <v>5.569982394366197</v>
      </c>
      <c r="F210" s="24">
        <f t="shared" si="1"/>
        <v>7.426643192488263</v>
      </c>
      <c r="G210" s="24">
        <f t="shared" ref="G210:G257" si="12">F210*(1+$F$269)</f>
        <v>9.2833039906103281</v>
      </c>
      <c r="H210" s="112"/>
      <c r="I210" s="211">
        <v>18</v>
      </c>
      <c r="J210" s="24">
        <f t="shared" si="3"/>
        <v>5.569982394366197</v>
      </c>
      <c r="K210" s="24">
        <f t="shared" si="4"/>
        <v>7.426643192488263</v>
      </c>
      <c r="L210" s="24">
        <f t="shared" si="5"/>
        <v>9.2833039906103281</v>
      </c>
      <c r="N210" s="5">
        <v>14</v>
      </c>
      <c r="O210" s="24">
        <f>O$211+((O$206-O$211)*1/9)</f>
        <v>3.7429930429922429</v>
      </c>
      <c r="R210" s="188">
        <v>18</v>
      </c>
      <c r="S210" s="209">
        <f t="shared" si="10"/>
        <v>5.569982394366197</v>
      </c>
      <c r="T210" s="209">
        <f t="shared" si="7"/>
        <v>7.426643192488263</v>
      </c>
      <c r="U210" s="209">
        <f t="shared" si="8"/>
        <v>9.2833039906103281</v>
      </c>
      <c r="V210" s="24">
        <f t="shared" si="9"/>
        <v>11.303714430999868</v>
      </c>
    </row>
    <row r="211" spans="2:22" x14ac:dyDescent="0.2">
      <c r="D211" s="211">
        <v>19</v>
      </c>
      <c r="E211" s="24">
        <f t="shared" si="11"/>
        <v>5.2965622683469231</v>
      </c>
      <c r="F211" s="24">
        <f t="shared" si="1"/>
        <v>7.0620830244625648</v>
      </c>
      <c r="G211" s="24">
        <f t="shared" si="12"/>
        <v>8.8276037805782064</v>
      </c>
      <c r="H211" s="112"/>
      <c r="I211" s="211">
        <v>19</v>
      </c>
      <c r="J211" s="24">
        <f t="shared" si="3"/>
        <v>5.2965622683469231</v>
      </c>
      <c r="K211" s="24">
        <f t="shared" si="4"/>
        <v>7.0620830244625648</v>
      </c>
      <c r="L211" s="24">
        <f t="shared" si="5"/>
        <v>8.8276037805782064</v>
      </c>
      <c r="N211" s="5">
        <v>15</v>
      </c>
      <c r="O211" s="24">
        <f>'FET Data'!F43</f>
        <v>3.3630885910412833</v>
      </c>
      <c r="P211" t="s">
        <v>83</v>
      </c>
      <c r="R211" s="188">
        <v>19</v>
      </c>
      <c r="S211" s="209">
        <f t="shared" si="10"/>
        <v>5.2965622683469231</v>
      </c>
      <c r="T211" s="209">
        <f t="shared" si="7"/>
        <v>7.0620830244625648</v>
      </c>
      <c r="U211" s="209">
        <f t="shared" si="8"/>
        <v>8.8276037805782064</v>
      </c>
      <c r="V211" s="24">
        <f t="shared" si="9"/>
        <v>10.708782092526192</v>
      </c>
    </row>
    <row r="212" spans="2:22" x14ac:dyDescent="0.2">
      <c r="D212" s="211">
        <v>20</v>
      </c>
      <c r="E212" s="24">
        <f t="shared" si="11"/>
        <v>5.0504841549295776</v>
      </c>
      <c r="F212" s="24">
        <f t="shared" si="1"/>
        <v>6.7339788732394368</v>
      </c>
      <c r="G212" s="24">
        <f t="shared" si="12"/>
        <v>8.417473591549296</v>
      </c>
      <c r="H212" s="112"/>
      <c r="I212" s="211">
        <v>20</v>
      </c>
      <c r="J212" s="24">
        <f t="shared" si="3"/>
        <v>5.0504841549295776</v>
      </c>
      <c r="K212" s="24">
        <f t="shared" si="4"/>
        <v>6.7339788732394368</v>
      </c>
      <c r="L212" s="24">
        <f t="shared" si="5"/>
        <v>8.417473591549296</v>
      </c>
      <c r="N212" s="5">
        <v>16</v>
      </c>
      <c r="O212" s="24">
        <f>O$216+((O$211-O$216)*4/6)</f>
        <v>2.242059060694189</v>
      </c>
      <c r="R212" s="188">
        <v>20</v>
      </c>
      <c r="S212" s="209">
        <f t="shared" si="10"/>
        <v>5.0504841549295776</v>
      </c>
      <c r="T212" s="209">
        <f t="shared" si="7"/>
        <v>6.7339788732394368</v>
      </c>
      <c r="U212" s="209">
        <f t="shared" si="8"/>
        <v>8.417473591549296</v>
      </c>
      <c r="V212" s="24">
        <f t="shared" si="9"/>
        <v>10.173342987899883</v>
      </c>
    </row>
    <row r="213" spans="2:22" x14ac:dyDescent="0.2">
      <c r="D213" s="211">
        <v>21</v>
      </c>
      <c r="E213" s="24">
        <f t="shared" si="11"/>
        <v>4.8278420523138834</v>
      </c>
      <c r="F213" s="24">
        <f t="shared" si="1"/>
        <v>6.4371227364185115</v>
      </c>
      <c r="G213" s="24">
        <f t="shared" si="12"/>
        <v>8.0464034205231396</v>
      </c>
      <c r="H213" s="112"/>
      <c r="I213" s="211">
        <v>21</v>
      </c>
      <c r="J213" s="24">
        <f t="shared" si="3"/>
        <v>4.8278420523138834</v>
      </c>
      <c r="K213" s="24">
        <f t="shared" si="4"/>
        <v>6.4371227364185115</v>
      </c>
      <c r="L213" s="24">
        <f t="shared" si="5"/>
        <v>8.0464034205231396</v>
      </c>
      <c r="N213" s="5">
        <v>17</v>
      </c>
      <c r="O213" s="24">
        <f>O$216+((O$211-O$216)*3/7)</f>
        <v>1.4413236818748358</v>
      </c>
      <c r="R213" s="188">
        <v>21</v>
      </c>
      <c r="S213" s="209">
        <f t="shared" si="10"/>
        <v>4.8278420523138834</v>
      </c>
      <c r="T213" s="209">
        <f t="shared" si="7"/>
        <v>6.4371227364185115</v>
      </c>
      <c r="U213" s="209">
        <f t="shared" si="8"/>
        <v>8.0464034205231396</v>
      </c>
      <c r="V213" s="24">
        <f t="shared" si="9"/>
        <v>9.6888980837141734</v>
      </c>
    </row>
    <row r="214" spans="2:22" x14ac:dyDescent="0.2">
      <c r="D214" s="211">
        <v>22</v>
      </c>
      <c r="E214" s="24">
        <f t="shared" si="11"/>
        <v>4.6254401408450709</v>
      </c>
      <c r="F214" s="24">
        <f t="shared" si="1"/>
        <v>6.167253521126761</v>
      </c>
      <c r="G214" s="24">
        <f t="shared" si="12"/>
        <v>7.709066901408451</v>
      </c>
      <c r="I214" s="211">
        <v>22</v>
      </c>
      <c r="J214" s="24">
        <f t="shared" si="3"/>
        <v>4.6254401408450709</v>
      </c>
      <c r="K214" s="24">
        <f t="shared" si="4"/>
        <v>6.167253521126761</v>
      </c>
      <c r="L214" s="24">
        <f t="shared" si="5"/>
        <v>7.709066901408451</v>
      </c>
      <c r="N214" s="22">
        <v>18</v>
      </c>
      <c r="O214" s="24">
        <f>O$216+((O$211-O$216)*2/8)</f>
        <v>0.84077214776032083</v>
      </c>
      <c r="R214" s="188">
        <v>22</v>
      </c>
      <c r="S214" s="209">
        <f t="shared" si="10"/>
        <v>4.6254401408450709</v>
      </c>
      <c r="T214" s="209">
        <f t="shared" si="7"/>
        <v>6.167253521126761</v>
      </c>
      <c r="U214" s="209">
        <f t="shared" si="8"/>
        <v>7.709066901408451</v>
      </c>
      <c r="V214" s="24">
        <f t="shared" si="9"/>
        <v>9.2484936253635297</v>
      </c>
    </row>
    <row r="215" spans="2:22" x14ac:dyDescent="0.2">
      <c r="D215" s="211">
        <v>23</v>
      </c>
      <c r="E215" s="24">
        <f t="shared" si="11"/>
        <v>4.4406383955909376</v>
      </c>
      <c r="F215" s="24">
        <f t="shared" si="1"/>
        <v>5.9208511941212496</v>
      </c>
      <c r="G215" s="24">
        <f t="shared" si="12"/>
        <v>7.4010639926515616</v>
      </c>
      <c r="I215" s="211">
        <v>23</v>
      </c>
      <c r="J215" s="24">
        <f t="shared" si="3"/>
        <v>4.4406383955909376</v>
      </c>
      <c r="K215" s="24">
        <f t="shared" si="4"/>
        <v>5.9208511941212496</v>
      </c>
      <c r="L215" s="24">
        <f t="shared" si="5"/>
        <v>7.4010639926515616</v>
      </c>
      <c r="N215" s="22">
        <v>19</v>
      </c>
      <c r="O215" s="24">
        <f>O$216+((O$211-O$216)*1/9)</f>
        <v>0.37367651011569814</v>
      </c>
      <c r="R215" s="188">
        <v>23</v>
      </c>
      <c r="S215" s="209">
        <f t="shared" si="10"/>
        <v>4.4406383955909376</v>
      </c>
      <c r="T215" s="209">
        <f t="shared" si="7"/>
        <v>5.9208511941212496</v>
      </c>
      <c r="U215" s="209">
        <f t="shared" si="8"/>
        <v>7.4010639926515616</v>
      </c>
      <c r="V215" s="24">
        <f t="shared" si="9"/>
        <v>8.8463852068694617</v>
      </c>
    </row>
    <row r="216" spans="2:22" x14ac:dyDescent="0.2">
      <c r="D216" s="211">
        <v>24</v>
      </c>
      <c r="E216" s="24">
        <f t="shared" si="11"/>
        <v>4.271236795774648</v>
      </c>
      <c r="F216" s="24">
        <f t="shared" si="1"/>
        <v>5.694982394366197</v>
      </c>
      <c r="G216" s="24">
        <f t="shared" si="12"/>
        <v>7.1187279929577461</v>
      </c>
      <c r="I216" s="211">
        <v>24</v>
      </c>
      <c r="J216" s="24">
        <f t="shared" si="3"/>
        <v>4.271236795774648</v>
      </c>
      <c r="K216" s="24">
        <f t="shared" si="4"/>
        <v>5.694982394366197</v>
      </c>
      <c r="L216" s="24">
        <f t="shared" si="5"/>
        <v>7.1187279929577461</v>
      </c>
      <c r="N216" s="22">
        <v>20</v>
      </c>
      <c r="O216" s="24">
        <f>'FET Data'!F44</f>
        <v>0</v>
      </c>
      <c r="P216" t="s">
        <v>83</v>
      </c>
      <c r="R216" s="188">
        <v>24</v>
      </c>
      <c r="S216" s="209">
        <f t="shared" si="10"/>
        <v>4.271236795774648</v>
      </c>
      <c r="T216" s="209">
        <f t="shared" si="7"/>
        <v>5.694982394366197</v>
      </c>
      <c r="U216" s="209">
        <f t="shared" si="8"/>
        <v>7.1187279929577461</v>
      </c>
      <c r="V216" s="24">
        <f t="shared" si="9"/>
        <v>8.477785823249901</v>
      </c>
    </row>
    <row r="217" spans="2:22" x14ac:dyDescent="0.2">
      <c r="D217" s="211">
        <v>25</v>
      </c>
      <c r="E217" s="24">
        <f t="shared" si="11"/>
        <v>4.1153873239436614</v>
      </c>
      <c r="F217" s="24">
        <f t="shared" si="1"/>
        <v>5.4871830985915491</v>
      </c>
      <c r="G217" s="24">
        <f t="shared" si="12"/>
        <v>6.8589788732394368</v>
      </c>
      <c r="I217" s="211">
        <v>25</v>
      </c>
      <c r="J217" s="24">
        <f t="shared" si="3"/>
        <v>4.1153873239436614</v>
      </c>
      <c r="K217" s="24">
        <f t="shared" si="4"/>
        <v>5.4871830985915491</v>
      </c>
      <c r="L217" s="24">
        <f t="shared" si="5"/>
        <v>6.8589788732394368</v>
      </c>
      <c r="R217" s="188">
        <v>25</v>
      </c>
      <c r="S217" s="209">
        <f t="shared" si="10"/>
        <v>4.1153873239436614</v>
      </c>
      <c r="T217" s="209">
        <f t="shared" si="7"/>
        <v>5.4871830985915491</v>
      </c>
      <c r="U217" s="209">
        <f t="shared" si="8"/>
        <v>6.8589788732394368</v>
      </c>
      <c r="V217" s="24">
        <f t="shared" si="9"/>
        <v>8.1386743903199061</v>
      </c>
    </row>
    <row r="218" spans="2:22" x14ac:dyDescent="0.2">
      <c r="D218" s="211">
        <v>26</v>
      </c>
      <c r="E218" s="24">
        <f t="shared" si="11"/>
        <v>3.9715262730227523</v>
      </c>
      <c r="F218" s="24">
        <f t="shared" si="1"/>
        <v>5.2953683640303364</v>
      </c>
      <c r="G218" s="24">
        <f t="shared" si="12"/>
        <v>6.6192104550379209</v>
      </c>
      <c r="I218" s="211">
        <v>26</v>
      </c>
      <c r="J218" s="24">
        <f t="shared" si="3"/>
        <v>3.9715262730227523</v>
      </c>
      <c r="K218" s="24">
        <f t="shared" si="4"/>
        <v>5.2953683640303364</v>
      </c>
      <c r="L218" s="24">
        <f t="shared" si="5"/>
        <v>6.6192104550379209</v>
      </c>
      <c r="R218" s="188">
        <v>26</v>
      </c>
      <c r="S218" s="209">
        <f t="shared" si="10"/>
        <v>3.9715262730227523</v>
      </c>
      <c r="T218" s="209">
        <f t="shared" si="7"/>
        <v>5.2953683640303364</v>
      </c>
      <c r="U218" s="209">
        <f t="shared" si="8"/>
        <v>6.6192104550379209</v>
      </c>
      <c r="V218" s="24">
        <f t="shared" si="9"/>
        <v>7.8256484522306788</v>
      </c>
    </row>
    <row r="219" spans="2:22" x14ac:dyDescent="0.2">
      <c r="D219" s="211">
        <v>27</v>
      </c>
      <c r="E219" s="24">
        <f t="shared" si="11"/>
        <v>3.8383215962441311</v>
      </c>
      <c r="F219" s="24">
        <f t="shared" si="1"/>
        <v>5.1177621283255084</v>
      </c>
      <c r="G219" s="24">
        <f t="shared" si="12"/>
        <v>6.3972026604068857</v>
      </c>
      <c r="I219" s="211">
        <v>27</v>
      </c>
      <c r="J219" s="24">
        <f t="shared" si="3"/>
        <v>3.8383215962441311</v>
      </c>
      <c r="K219" s="24">
        <f t="shared" si="4"/>
        <v>5.1177621283255084</v>
      </c>
      <c r="L219" s="24">
        <f t="shared" si="5"/>
        <v>6.3972026604068857</v>
      </c>
      <c r="R219" s="188">
        <v>27</v>
      </c>
      <c r="S219" s="209">
        <f t="shared" si="10"/>
        <v>3.8383215962441311</v>
      </c>
      <c r="T219" s="209">
        <f t="shared" si="7"/>
        <v>5.1177621283255084</v>
      </c>
      <c r="U219" s="209">
        <f t="shared" si="8"/>
        <v>6.3972026604068857</v>
      </c>
      <c r="V219" s="24">
        <f t="shared" si="9"/>
        <v>7.535809620666579</v>
      </c>
    </row>
    <row r="220" spans="2:22" x14ac:dyDescent="0.2">
      <c r="D220" s="211">
        <v>28</v>
      </c>
      <c r="E220" s="24">
        <f t="shared" si="11"/>
        <v>3.7146315392354126</v>
      </c>
      <c r="F220" s="24">
        <f t="shared" si="1"/>
        <v>4.9528420523138834</v>
      </c>
      <c r="G220" s="24">
        <f t="shared" si="12"/>
        <v>6.1910525653923543</v>
      </c>
      <c r="I220" s="211">
        <v>28</v>
      </c>
      <c r="J220" s="24">
        <f t="shared" si="3"/>
        <v>3.7146315392354126</v>
      </c>
      <c r="K220" s="24">
        <f t="shared" si="4"/>
        <v>4.9528420523138834</v>
      </c>
      <c r="L220" s="24">
        <f t="shared" si="5"/>
        <v>6.1910525653923543</v>
      </c>
      <c r="R220" s="188">
        <v>28</v>
      </c>
      <c r="S220" s="209">
        <f t="shared" si="10"/>
        <v>3.7146315392354126</v>
      </c>
      <c r="T220" s="209">
        <f t="shared" si="7"/>
        <v>4.9528420523138834</v>
      </c>
      <c r="U220" s="209">
        <f t="shared" si="8"/>
        <v>6.1910525653923543</v>
      </c>
      <c r="V220" s="24">
        <f t="shared" si="9"/>
        <v>7.2666735627856296</v>
      </c>
    </row>
    <row r="221" spans="2:22" x14ac:dyDescent="0.2">
      <c r="D221" s="211">
        <v>29</v>
      </c>
      <c r="E221" s="24">
        <f t="shared" si="11"/>
        <v>3.5994718309859151</v>
      </c>
      <c r="F221" s="24">
        <f t="shared" si="1"/>
        <v>4.799295774647887</v>
      </c>
      <c r="G221" s="24">
        <f t="shared" si="12"/>
        <v>5.999119718309859</v>
      </c>
      <c r="I221" s="211">
        <v>29</v>
      </c>
      <c r="J221" s="24">
        <f t="shared" si="3"/>
        <v>3.5994718309859151</v>
      </c>
      <c r="K221" s="24">
        <f t="shared" si="4"/>
        <v>4.799295774647887</v>
      </c>
      <c r="L221" s="24">
        <f t="shared" si="5"/>
        <v>5.999119718309859</v>
      </c>
      <c r="R221" s="188">
        <v>29</v>
      </c>
      <c r="S221" s="209">
        <f t="shared" si="10"/>
        <v>3.5994718309859151</v>
      </c>
      <c r="T221" s="209">
        <f t="shared" si="7"/>
        <v>4.799295774647887</v>
      </c>
      <c r="U221" s="209">
        <f t="shared" si="8"/>
        <v>5.999119718309859</v>
      </c>
      <c r="V221" s="24">
        <f t="shared" si="9"/>
        <v>7.016098612344746</v>
      </c>
    </row>
    <row r="222" spans="2:22" x14ac:dyDescent="0.2">
      <c r="D222" s="211">
        <v>30</v>
      </c>
      <c r="E222" s="24">
        <f t="shared" si="11"/>
        <v>3.4919894366197184</v>
      </c>
      <c r="F222" s="24">
        <f t="shared" si="1"/>
        <v>4.6559859154929581</v>
      </c>
      <c r="G222" s="24">
        <f t="shared" si="12"/>
        <v>5.8199823943661979</v>
      </c>
      <c r="I222" s="211">
        <v>30</v>
      </c>
      <c r="J222" s="24">
        <f t="shared" si="3"/>
        <v>3.4919894366197184</v>
      </c>
      <c r="K222" s="24">
        <f t="shared" si="4"/>
        <v>4.6559859154929581</v>
      </c>
      <c r="L222" s="24">
        <f t="shared" si="5"/>
        <v>5.8199823943661979</v>
      </c>
      <c r="R222" s="188">
        <v>30</v>
      </c>
      <c r="S222" s="209">
        <f t="shared" si="10"/>
        <v>3.4919894366197184</v>
      </c>
      <c r="T222" s="209">
        <f t="shared" si="7"/>
        <v>4.6559859154929581</v>
      </c>
      <c r="U222" s="209">
        <f t="shared" si="8"/>
        <v>5.8199823943661979</v>
      </c>
      <c r="V222" s="24">
        <f t="shared" si="9"/>
        <v>6.7822286585999212</v>
      </c>
    </row>
    <row r="223" spans="2:22" x14ac:dyDescent="0.2">
      <c r="D223" s="211">
        <v>31</v>
      </c>
      <c r="E223" s="24">
        <f t="shared" si="11"/>
        <v>3.3914413902771465</v>
      </c>
      <c r="F223" s="24">
        <f t="shared" si="1"/>
        <v>4.521921853702862</v>
      </c>
      <c r="G223" s="24">
        <f t="shared" si="12"/>
        <v>5.652402317128578</v>
      </c>
      <c r="I223" s="211">
        <v>31</v>
      </c>
      <c r="J223" s="24">
        <f t="shared" si="3"/>
        <v>3.3914413902771465</v>
      </c>
      <c r="K223" s="24">
        <f t="shared" si="4"/>
        <v>4.521921853702862</v>
      </c>
      <c r="L223" s="24">
        <f t="shared" si="5"/>
        <v>5.652402317128578</v>
      </c>
      <c r="R223" s="188">
        <v>31</v>
      </c>
      <c r="S223" s="209">
        <f t="shared" si="10"/>
        <v>3.3914413902771465</v>
      </c>
      <c r="T223" s="209">
        <f t="shared" si="7"/>
        <v>4.521921853702862</v>
      </c>
      <c r="U223" s="209">
        <f t="shared" si="8"/>
        <v>5.652402317128578</v>
      </c>
      <c r="V223" s="24">
        <f t="shared" si="9"/>
        <v>6.5634470889676662</v>
      </c>
    </row>
    <row r="224" spans="2:22" x14ac:dyDescent="0.2">
      <c r="D224" s="211">
        <v>32</v>
      </c>
      <c r="E224" s="24">
        <f t="shared" si="11"/>
        <v>3.297177596830986</v>
      </c>
      <c r="F224" s="24">
        <f t="shared" si="1"/>
        <v>4.396236795774648</v>
      </c>
      <c r="G224" s="24">
        <f t="shared" si="12"/>
        <v>5.49529599471831</v>
      </c>
      <c r="I224" s="211">
        <v>32</v>
      </c>
      <c r="J224" s="24">
        <f t="shared" si="3"/>
        <v>3.297177596830986</v>
      </c>
      <c r="K224" s="24">
        <f t="shared" si="4"/>
        <v>4.396236795774648</v>
      </c>
      <c r="L224" s="24">
        <f t="shared" si="5"/>
        <v>5.49529599471831</v>
      </c>
      <c r="R224" s="188">
        <v>32</v>
      </c>
      <c r="S224" s="209">
        <f t="shared" si="10"/>
        <v>3.297177596830986</v>
      </c>
      <c r="T224" s="209">
        <f t="shared" si="7"/>
        <v>4.396236795774648</v>
      </c>
      <c r="U224" s="209">
        <f t="shared" si="8"/>
        <v>5.49529599471831</v>
      </c>
      <c r="V224" s="24">
        <f t="shared" si="9"/>
        <v>6.3583393674374262</v>
      </c>
    </row>
    <row r="225" spans="4:22" x14ac:dyDescent="0.2">
      <c r="D225" s="211">
        <v>33</v>
      </c>
      <c r="E225" s="24">
        <f t="shared" si="11"/>
        <v>3.20862676056338</v>
      </c>
      <c r="F225" s="24">
        <f t="shared" ref="F225:F257" si="13">($F$184+(D225-VINMAX_P)*$E$266/$E$267)/D225</f>
        <v>4.278169014084507</v>
      </c>
      <c r="G225" s="24">
        <f t="shared" si="12"/>
        <v>5.347711267605634</v>
      </c>
      <c r="I225" s="211">
        <v>33</v>
      </c>
      <c r="J225" s="24">
        <f t="shared" si="3"/>
        <v>3.20862676056338</v>
      </c>
      <c r="K225" s="24">
        <f t="shared" si="4"/>
        <v>4.278169014084507</v>
      </c>
      <c r="L225" s="24">
        <f t="shared" si="5"/>
        <v>5.347711267605634</v>
      </c>
      <c r="R225" s="188">
        <v>33</v>
      </c>
      <c r="S225" s="209">
        <f t="shared" si="10"/>
        <v>3.20862676056338</v>
      </c>
      <c r="T225" s="209">
        <f t="shared" si="7"/>
        <v>4.278169014084507</v>
      </c>
      <c r="U225" s="209">
        <f t="shared" si="8"/>
        <v>5.347711267605634</v>
      </c>
      <c r="V225" s="24">
        <f t="shared" si="9"/>
        <v>6.1656624169090195</v>
      </c>
    </row>
    <row r="226" spans="4:22" x14ac:dyDescent="0.2">
      <c r="D226" s="211">
        <v>34</v>
      </c>
      <c r="E226" s="24">
        <f t="shared" si="11"/>
        <v>3.1252847970173985</v>
      </c>
      <c r="F226" s="24">
        <f t="shared" si="13"/>
        <v>4.1670463960231983</v>
      </c>
      <c r="G226" s="24">
        <f t="shared" si="12"/>
        <v>5.2088079950289981</v>
      </c>
      <c r="I226" s="211">
        <v>34</v>
      </c>
      <c r="J226" s="24">
        <f t="shared" si="3"/>
        <v>3.1252847970173985</v>
      </c>
      <c r="K226" s="24">
        <f t="shared" si="4"/>
        <v>4.1670463960231983</v>
      </c>
      <c r="L226" s="24">
        <f t="shared" si="5"/>
        <v>5.2088079950289981</v>
      </c>
      <c r="R226" s="188">
        <v>34</v>
      </c>
      <c r="S226" s="209">
        <f t="shared" si="10"/>
        <v>3.1252847970173985</v>
      </c>
      <c r="T226" s="209">
        <f t="shared" si="7"/>
        <v>4.1670463960231983</v>
      </c>
      <c r="U226" s="209">
        <f t="shared" si="8"/>
        <v>5.2088079950289981</v>
      </c>
      <c r="V226" s="24">
        <f t="shared" si="9"/>
        <v>5.984319404646989</v>
      </c>
    </row>
    <row r="227" spans="4:22" x14ac:dyDescent="0.2">
      <c r="D227" s="211">
        <v>35</v>
      </c>
      <c r="E227" s="24">
        <f t="shared" si="11"/>
        <v>3.04670523138833</v>
      </c>
      <c r="F227" s="24">
        <f t="shared" si="13"/>
        <v>4.0622736418511067</v>
      </c>
      <c r="G227" s="24">
        <f t="shared" si="12"/>
        <v>5.0778420523138834</v>
      </c>
      <c r="I227" s="211">
        <v>35</v>
      </c>
      <c r="J227" s="24">
        <f t="shared" si="3"/>
        <v>3.04670523138833</v>
      </c>
      <c r="K227" s="24">
        <f t="shared" si="4"/>
        <v>4.0622736418511067</v>
      </c>
      <c r="L227" s="24">
        <f t="shared" si="5"/>
        <v>5.0778420523138834</v>
      </c>
      <c r="R227" s="188">
        <v>35</v>
      </c>
      <c r="S227" s="209">
        <f t="shared" si="10"/>
        <v>3.04670523138833</v>
      </c>
      <c r="T227" s="209">
        <f t="shared" si="7"/>
        <v>4.0622736418511067</v>
      </c>
      <c r="U227" s="209">
        <f t="shared" si="8"/>
        <v>5.0778420523138834</v>
      </c>
      <c r="V227" s="24">
        <f t="shared" si="9"/>
        <v>5.8133388502285044</v>
      </c>
    </row>
    <row r="228" spans="4:22" x14ac:dyDescent="0.2">
      <c r="D228" s="211">
        <v>36</v>
      </c>
      <c r="E228" s="24">
        <f t="shared" si="11"/>
        <v>2.9724911971830985</v>
      </c>
      <c r="F228" s="24">
        <f t="shared" si="13"/>
        <v>3.9633215962441315</v>
      </c>
      <c r="G228" s="24">
        <f t="shared" si="12"/>
        <v>4.954151995305164</v>
      </c>
      <c r="I228" s="211">
        <v>36</v>
      </c>
      <c r="J228" s="24">
        <f t="shared" si="3"/>
        <v>2.9724911971830985</v>
      </c>
      <c r="K228" s="24">
        <f t="shared" si="4"/>
        <v>3.9633215962441315</v>
      </c>
      <c r="L228" s="24">
        <f t="shared" si="5"/>
        <v>4.954151995305164</v>
      </c>
      <c r="R228" s="188">
        <v>36</v>
      </c>
      <c r="S228" s="209">
        <f t="shared" si="10"/>
        <v>2.9724911971830985</v>
      </c>
      <c r="T228" s="209">
        <f t="shared" si="7"/>
        <v>3.9633215962441315</v>
      </c>
      <c r="U228" s="209">
        <f t="shared" si="8"/>
        <v>4.954151995305164</v>
      </c>
      <c r="V228" s="24">
        <f t="shared" si="9"/>
        <v>5.651857215499934</v>
      </c>
    </row>
    <row r="229" spans="4:22" x14ac:dyDescent="0.2">
      <c r="D229" s="211">
        <v>37</v>
      </c>
      <c r="E229" s="24">
        <f t="shared" si="11"/>
        <v>2.902288732394366</v>
      </c>
      <c r="F229" s="24">
        <f t="shared" si="13"/>
        <v>3.869718309859155</v>
      </c>
      <c r="G229" s="24">
        <f t="shared" si="12"/>
        <v>4.837147887323944</v>
      </c>
      <c r="I229" s="211">
        <v>37</v>
      </c>
      <c r="J229" s="24">
        <f t="shared" si="3"/>
        <v>2.902288732394366</v>
      </c>
      <c r="K229" s="24">
        <f t="shared" si="4"/>
        <v>3.869718309859155</v>
      </c>
      <c r="L229" s="24">
        <f t="shared" si="5"/>
        <v>4.837147887323944</v>
      </c>
      <c r="R229" s="188">
        <v>37</v>
      </c>
      <c r="S229" s="209">
        <f t="shared" si="10"/>
        <v>2.902288732394366</v>
      </c>
      <c r="T229" s="209">
        <f t="shared" si="7"/>
        <v>3.869718309859155</v>
      </c>
      <c r="U229" s="209">
        <f t="shared" si="8"/>
        <v>4.837147887323944</v>
      </c>
      <c r="V229" s="24">
        <f t="shared" si="9"/>
        <v>5.4991043177837202</v>
      </c>
    </row>
    <row r="230" spans="4:22" x14ac:dyDescent="0.2">
      <c r="D230" s="211">
        <v>38</v>
      </c>
      <c r="E230" s="24">
        <f t="shared" si="11"/>
        <v>2.8357811341734616</v>
      </c>
      <c r="F230" s="24">
        <f t="shared" si="13"/>
        <v>3.7810415122312824</v>
      </c>
      <c r="G230" s="24">
        <f t="shared" si="12"/>
        <v>4.7263018902891032</v>
      </c>
      <c r="I230" s="211">
        <v>38</v>
      </c>
      <c r="J230" s="24">
        <f t="shared" si="3"/>
        <v>2.8357811341734616</v>
      </c>
      <c r="K230" s="24">
        <f t="shared" si="4"/>
        <v>3.7810415122312824</v>
      </c>
      <c r="L230" s="24">
        <f t="shared" si="5"/>
        <v>4.7263018902891032</v>
      </c>
      <c r="R230" s="188">
        <v>38</v>
      </c>
      <c r="S230" s="209">
        <f t="shared" si="10"/>
        <v>2.8357811341734616</v>
      </c>
      <c r="T230" s="209">
        <f t="shared" si="7"/>
        <v>3.7810415122312824</v>
      </c>
      <c r="U230" s="209">
        <f t="shared" si="8"/>
        <v>4.7263018902891032</v>
      </c>
      <c r="V230" s="24">
        <f t="shared" si="9"/>
        <v>5.3543910462630961</v>
      </c>
    </row>
    <row r="231" spans="4:22" x14ac:dyDescent="0.2">
      <c r="D231" s="211">
        <v>39</v>
      </c>
      <c r="E231" s="24">
        <f t="shared" si="11"/>
        <v>2.7726841820151682</v>
      </c>
      <c r="F231" s="24">
        <f t="shared" si="13"/>
        <v>3.6969122426868908</v>
      </c>
      <c r="G231" s="24">
        <f t="shared" si="12"/>
        <v>4.6211403033586134</v>
      </c>
      <c r="I231" s="211">
        <v>39</v>
      </c>
      <c r="J231" s="24">
        <f t="shared" si="3"/>
        <v>2.7726841820151682</v>
      </c>
      <c r="K231" s="24">
        <f t="shared" si="4"/>
        <v>3.6969122426868908</v>
      </c>
      <c r="L231" s="24">
        <f t="shared" si="5"/>
        <v>4.6211403033586134</v>
      </c>
      <c r="R231" s="188">
        <v>39</v>
      </c>
      <c r="S231" s="209">
        <f t="shared" si="10"/>
        <v>2.7726841820151682</v>
      </c>
      <c r="T231" s="209">
        <f t="shared" si="7"/>
        <v>3.6969122426868908</v>
      </c>
      <c r="U231" s="209">
        <f t="shared" si="8"/>
        <v>4.6211403033586134</v>
      </c>
      <c r="V231" s="24">
        <f t="shared" si="9"/>
        <v>5.2170989681537856</v>
      </c>
    </row>
    <row r="232" spans="4:22" x14ac:dyDescent="0.2">
      <c r="D232" s="211">
        <v>40</v>
      </c>
      <c r="E232" s="24">
        <f t="shared" si="11"/>
        <v>2.7127420774647888</v>
      </c>
      <c r="F232" s="24">
        <f t="shared" si="13"/>
        <v>3.6169894366197184</v>
      </c>
      <c r="G232" s="24">
        <f t="shared" si="12"/>
        <v>4.521236795774648</v>
      </c>
      <c r="I232" s="211">
        <v>40</v>
      </c>
      <c r="J232" s="24">
        <f t="shared" si="3"/>
        <v>2.7127420774647888</v>
      </c>
      <c r="K232" s="24">
        <f t="shared" si="4"/>
        <v>3.6169894366197184</v>
      </c>
      <c r="L232" s="24">
        <f t="shared" si="5"/>
        <v>4.521236795774648</v>
      </c>
      <c r="R232" s="188">
        <v>40</v>
      </c>
      <c r="S232" s="209">
        <f t="shared" si="10"/>
        <v>2.7127420774647888</v>
      </c>
      <c r="T232" s="209">
        <f t="shared" si="7"/>
        <v>3.6169894366197184</v>
      </c>
      <c r="U232" s="209">
        <f t="shared" si="8"/>
        <v>4.521236795774648</v>
      </c>
      <c r="V232" s="24">
        <f t="shared" si="9"/>
        <v>5.0866714939499413</v>
      </c>
    </row>
    <row r="233" spans="4:22" x14ac:dyDescent="0.2">
      <c r="D233" s="211">
        <v>41</v>
      </c>
      <c r="E233" s="24">
        <f t="shared" si="11"/>
        <v>2.6557239780144277</v>
      </c>
      <c r="F233" s="24">
        <f t="shared" si="13"/>
        <v>3.5409653040192373</v>
      </c>
      <c r="G233" s="24">
        <f t="shared" si="12"/>
        <v>4.4262066300240468</v>
      </c>
      <c r="I233" s="211">
        <v>41</v>
      </c>
      <c r="J233" s="24">
        <f t="shared" si="3"/>
        <v>2.6557239780144277</v>
      </c>
      <c r="K233" s="24">
        <f t="shared" si="4"/>
        <v>3.5409653040192373</v>
      </c>
      <c r="L233" s="24">
        <f t="shared" si="5"/>
        <v>4.4262066300240468</v>
      </c>
      <c r="R233" s="188">
        <v>41</v>
      </c>
      <c r="S233" s="209">
        <f t="shared" si="10"/>
        <v>2.6557239780144277</v>
      </c>
      <c r="T233" s="209">
        <f t="shared" si="7"/>
        <v>3.5409653040192373</v>
      </c>
      <c r="U233" s="209">
        <f t="shared" si="8"/>
        <v>4.4262066300240468</v>
      </c>
      <c r="V233" s="24">
        <f t="shared" si="9"/>
        <v>4.9626063355609178</v>
      </c>
    </row>
    <row r="234" spans="4:22" x14ac:dyDescent="0.2">
      <c r="D234" s="211">
        <v>42</v>
      </c>
      <c r="E234" s="24">
        <f t="shared" si="11"/>
        <v>2.6014210261569417</v>
      </c>
      <c r="F234" s="24">
        <f t="shared" si="13"/>
        <v>3.4685613682092558</v>
      </c>
      <c r="G234" s="24">
        <f t="shared" si="12"/>
        <v>4.3357017102615698</v>
      </c>
      <c r="I234" s="211">
        <v>42</v>
      </c>
      <c r="J234" s="24">
        <f t="shared" si="3"/>
        <v>2.6014210261569417</v>
      </c>
      <c r="K234" s="24">
        <f t="shared" si="4"/>
        <v>3.4685613682092558</v>
      </c>
      <c r="L234" s="24">
        <f t="shared" si="5"/>
        <v>4.3357017102615698</v>
      </c>
      <c r="R234" s="188">
        <v>42</v>
      </c>
      <c r="S234" s="209">
        <f t="shared" si="10"/>
        <v>2.6014210261569417</v>
      </c>
      <c r="T234" s="209">
        <f t="shared" si="7"/>
        <v>3.4685613682092558</v>
      </c>
      <c r="U234" s="209">
        <f t="shared" si="8"/>
        <v>4.3357017102615698</v>
      </c>
      <c r="V234" s="24">
        <f t="shared" si="9"/>
        <v>4.8444490418570867</v>
      </c>
    </row>
    <row r="235" spans="4:22" x14ac:dyDescent="0.2">
      <c r="D235" s="211">
        <v>43</v>
      </c>
      <c r="E235" s="24">
        <f t="shared" si="11"/>
        <v>2.5496437929905014</v>
      </c>
      <c r="F235" s="24">
        <f t="shared" si="13"/>
        <v>3.3995250573206683</v>
      </c>
      <c r="G235" s="24">
        <f t="shared" si="12"/>
        <v>4.2494063216508353</v>
      </c>
      <c r="I235" s="211">
        <v>43</v>
      </c>
      <c r="J235" s="24">
        <f t="shared" si="3"/>
        <v>2.5496437929905014</v>
      </c>
      <c r="K235" s="24">
        <f t="shared" si="4"/>
        <v>3.3995250573206683</v>
      </c>
      <c r="L235" s="24">
        <f t="shared" si="5"/>
        <v>4.2494063216508353</v>
      </c>
      <c r="R235" s="188">
        <v>43</v>
      </c>
      <c r="S235" s="209">
        <f t="shared" si="10"/>
        <v>2.5496437929905014</v>
      </c>
      <c r="T235" s="209">
        <f t="shared" si="7"/>
        <v>3.3995250573206683</v>
      </c>
      <c r="U235" s="209">
        <f t="shared" si="8"/>
        <v>4.2494063216508353</v>
      </c>
      <c r="V235" s="24">
        <f t="shared" si="9"/>
        <v>4.7317874362325032</v>
      </c>
    </row>
    <row r="236" spans="4:22" x14ac:dyDescent="0.2">
      <c r="D236" s="211">
        <v>44</v>
      </c>
      <c r="E236" s="24">
        <f t="shared" si="11"/>
        <v>2.5002200704225355</v>
      </c>
      <c r="F236" s="24">
        <f t="shared" si="13"/>
        <v>3.3336267605633805</v>
      </c>
      <c r="G236" s="24">
        <f t="shared" si="12"/>
        <v>4.1670334507042259</v>
      </c>
      <c r="I236" s="211">
        <v>44</v>
      </c>
      <c r="J236" s="24">
        <f t="shared" si="3"/>
        <v>2.5002200704225355</v>
      </c>
      <c r="K236" s="24">
        <f t="shared" si="4"/>
        <v>3.3336267605633805</v>
      </c>
      <c r="L236" s="24">
        <f t="shared" si="5"/>
        <v>4.1670334507042259</v>
      </c>
      <c r="R236" s="188">
        <v>44</v>
      </c>
      <c r="S236" s="209">
        <f t="shared" si="10"/>
        <v>2.5002200704225355</v>
      </c>
      <c r="T236" s="209">
        <f t="shared" si="7"/>
        <v>3.3336267605633805</v>
      </c>
      <c r="U236" s="209">
        <f t="shared" si="8"/>
        <v>4.1670334507042259</v>
      </c>
      <c r="V236" s="24">
        <f t="shared" si="9"/>
        <v>4.6242468126817649</v>
      </c>
    </row>
    <row r="237" spans="4:22" x14ac:dyDescent="0.2">
      <c r="D237" s="211">
        <v>45</v>
      </c>
      <c r="E237" s="24">
        <f t="shared" si="11"/>
        <v>2.4529929577464791</v>
      </c>
      <c r="F237" s="24">
        <f t="shared" si="13"/>
        <v>3.2706572769953053</v>
      </c>
      <c r="G237" s="24">
        <f t="shared" si="12"/>
        <v>4.0883215962441319</v>
      </c>
      <c r="I237" s="211">
        <v>45</v>
      </c>
      <c r="J237" s="24">
        <f t="shared" si="3"/>
        <v>2.4529929577464791</v>
      </c>
      <c r="K237" s="24">
        <f t="shared" si="4"/>
        <v>3.2706572769953053</v>
      </c>
      <c r="L237" s="24">
        <f t="shared" si="5"/>
        <v>4.0883215962441319</v>
      </c>
      <c r="R237" s="188">
        <v>45</v>
      </c>
      <c r="S237" s="209">
        <f t="shared" si="10"/>
        <v>2.4529929577464791</v>
      </c>
      <c r="T237" s="209">
        <f t="shared" si="7"/>
        <v>3.2706572769953053</v>
      </c>
      <c r="U237" s="209">
        <f t="shared" si="8"/>
        <v>4.0883215962441319</v>
      </c>
      <c r="V237" s="24">
        <f t="shared" si="9"/>
        <v>4.5214857723999478</v>
      </c>
    </row>
    <row r="238" spans="4:22" x14ac:dyDescent="0.2">
      <c r="D238" s="211">
        <v>46</v>
      </c>
      <c r="E238" s="24">
        <f t="shared" si="11"/>
        <v>2.4078191977954688</v>
      </c>
      <c r="F238" s="24">
        <f t="shared" si="13"/>
        <v>3.2104255970606248</v>
      </c>
      <c r="G238" s="24">
        <f t="shared" si="12"/>
        <v>4.0130319963257808</v>
      </c>
      <c r="I238" s="211">
        <v>46</v>
      </c>
      <c r="J238" s="24">
        <f t="shared" si="3"/>
        <v>2.4078191977954688</v>
      </c>
      <c r="K238" s="24">
        <f t="shared" si="4"/>
        <v>3.2104255970606248</v>
      </c>
      <c r="L238" s="24">
        <f t="shared" si="5"/>
        <v>4.0130319963257808</v>
      </c>
      <c r="R238" s="188">
        <v>46</v>
      </c>
      <c r="S238" s="209">
        <f t="shared" si="10"/>
        <v>2.4078191977954688</v>
      </c>
      <c r="T238" s="209">
        <f t="shared" si="7"/>
        <v>3.2104255970606248</v>
      </c>
      <c r="U238" s="209">
        <f t="shared" si="8"/>
        <v>4.0130319963257808</v>
      </c>
      <c r="V238" s="24">
        <f t="shared" si="9"/>
        <v>4.4231926034347309</v>
      </c>
    </row>
    <row r="239" spans="4:22" x14ac:dyDescent="0.2">
      <c r="D239" s="211">
        <v>47</v>
      </c>
      <c r="E239" s="24">
        <f t="shared" si="11"/>
        <v>2.3645677255019479</v>
      </c>
      <c r="F239" s="24">
        <f t="shared" si="13"/>
        <v>3.1527569673359306</v>
      </c>
      <c r="G239" s="24">
        <f t="shared" si="12"/>
        <v>3.9409462091699132</v>
      </c>
      <c r="I239" s="211">
        <v>47</v>
      </c>
      <c r="J239" s="24">
        <f t="shared" si="3"/>
        <v>2.3645677255019479</v>
      </c>
      <c r="K239" s="24">
        <f t="shared" si="4"/>
        <v>3.1527569673359306</v>
      </c>
      <c r="L239" s="24">
        <f t="shared" si="5"/>
        <v>3.9409462091699132</v>
      </c>
      <c r="R239" s="188">
        <v>47</v>
      </c>
      <c r="S239" s="209">
        <f t="shared" si="10"/>
        <v>2.3645677255019479</v>
      </c>
      <c r="T239" s="209">
        <f t="shared" si="7"/>
        <v>3.1527569673359306</v>
      </c>
      <c r="U239" s="209">
        <f t="shared" si="8"/>
        <v>3.9409462091699132</v>
      </c>
      <c r="V239" s="24">
        <f t="shared" si="9"/>
        <v>4.329082122510588</v>
      </c>
    </row>
    <row r="240" spans="4:22" x14ac:dyDescent="0.2">
      <c r="D240" s="211">
        <v>48</v>
      </c>
      <c r="E240" s="24">
        <f t="shared" si="11"/>
        <v>2.323118397887324</v>
      </c>
      <c r="F240" s="24">
        <f t="shared" si="13"/>
        <v>3.0974911971830985</v>
      </c>
      <c r="G240" s="24">
        <f t="shared" si="12"/>
        <v>3.871863996478873</v>
      </c>
      <c r="I240" s="211">
        <v>48</v>
      </c>
      <c r="J240" s="24">
        <f t="shared" si="3"/>
        <v>2.323118397887324</v>
      </c>
      <c r="K240" s="24">
        <f t="shared" si="4"/>
        <v>3.0974911971830985</v>
      </c>
      <c r="L240" s="24">
        <f t="shared" si="5"/>
        <v>3.871863996478873</v>
      </c>
      <c r="R240" s="188">
        <v>48</v>
      </c>
      <c r="S240" s="209">
        <f t="shared" si="10"/>
        <v>2.323118397887324</v>
      </c>
      <c r="T240" s="209">
        <f t="shared" si="7"/>
        <v>3.0974911971830985</v>
      </c>
      <c r="U240" s="209">
        <f t="shared" si="8"/>
        <v>3.871863996478873</v>
      </c>
      <c r="V240" s="24">
        <f t="shared" si="9"/>
        <v>4.2388929116249505</v>
      </c>
    </row>
    <row r="241" spans="4:22" x14ac:dyDescent="0.2">
      <c r="D241" s="211">
        <v>49</v>
      </c>
      <c r="E241" s="24">
        <f t="shared" si="11"/>
        <v>2.2833608795630926</v>
      </c>
      <c r="F241" s="24">
        <f t="shared" si="13"/>
        <v>3.0444811727507903</v>
      </c>
      <c r="G241" s="24">
        <f t="shared" si="12"/>
        <v>3.805601465938488</v>
      </c>
      <c r="I241" s="211">
        <v>49</v>
      </c>
      <c r="J241" s="24">
        <f t="shared" si="3"/>
        <v>2.2833608795630926</v>
      </c>
      <c r="K241" s="24">
        <f t="shared" si="4"/>
        <v>3.0444811727507903</v>
      </c>
      <c r="L241" s="24">
        <f t="shared" si="5"/>
        <v>3.805601465938488</v>
      </c>
      <c r="R241" s="188">
        <v>49</v>
      </c>
      <c r="S241" s="209">
        <f t="shared" si="10"/>
        <v>2.2833608795630926</v>
      </c>
      <c r="T241" s="209">
        <f t="shared" si="7"/>
        <v>3.0444811727507903</v>
      </c>
      <c r="U241" s="209">
        <f t="shared" si="8"/>
        <v>3.805601465938488</v>
      </c>
      <c r="V241" s="24">
        <f t="shared" si="9"/>
        <v>4.1523848930203604</v>
      </c>
    </row>
    <row r="242" spans="4:22" x14ac:dyDescent="0.2">
      <c r="D242" s="211">
        <v>50</v>
      </c>
      <c r="E242" s="24">
        <f t="shared" si="11"/>
        <v>2.2451936619718307</v>
      </c>
      <c r="F242" s="24">
        <f t="shared" si="13"/>
        <v>2.9935915492957745</v>
      </c>
      <c r="G242" s="24">
        <f t="shared" si="12"/>
        <v>3.7419894366197184</v>
      </c>
      <c r="I242" s="211">
        <v>50</v>
      </c>
      <c r="J242" s="24">
        <f t="shared" si="3"/>
        <v>2.2451936619718307</v>
      </c>
      <c r="K242" s="24">
        <f t="shared" si="4"/>
        <v>2.9935915492957745</v>
      </c>
      <c r="L242" s="24">
        <f t="shared" si="5"/>
        <v>3.7419894366197184</v>
      </c>
      <c r="R242" s="188">
        <v>50</v>
      </c>
      <c r="S242" s="209">
        <f t="shared" si="10"/>
        <v>2.2451936619718307</v>
      </c>
      <c r="T242" s="209">
        <f t="shared" si="7"/>
        <v>2.9935915492957745</v>
      </c>
      <c r="U242" s="209">
        <f t="shared" si="8"/>
        <v>3.7419894366197184</v>
      </c>
      <c r="V242" s="24">
        <f t="shared" si="9"/>
        <v>4.0693371951599531</v>
      </c>
    </row>
    <row r="243" spans="4:22" x14ac:dyDescent="0.2">
      <c r="D243" s="211">
        <v>51</v>
      </c>
      <c r="E243" s="24">
        <f t="shared" si="11"/>
        <v>2.2085231980115987</v>
      </c>
      <c r="F243" s="24">
        <f t="shared" si="13"/>
        <v>2.9446975973487985</v>
      </c>
      <c r="G243" s="24">
        <f t="shared" si="12"/>
        <v>3.6808719966859984</v>
      </c>
      <c r="I243" s="211">
        <v>51</v>
      </c>
      <c r="J243" s="24">
        <f t="shared" si="3"/>
        <v>2.2085231980115987</v>
      </c>
      <c r="K243" s="24">
        <f t="shared" si="4"/>
        <v>2.9446975973487985</v>
      </c>
      <c r="L243" s="24">
        <f t="shared" si="5"/>
        <v>3.6808719966859984</v>
      </c>
      <c r="R243" s="188">
        <v>51</v>
      </c>
      <c r="S243" s="209">
        <f t="shared" si="10"/>
        <v>2.2085231980115987</v>
      </c>
      <c r="T243" s="209">
        <f t="shared" si="7"/>
        <v>2.9446975973487985</v>
      </c>
      <c r="U243" s="209">
        <f t="shared" si="8"/>
        <v>3.6808719966859984</v>
      </c>
      <c r="V243" s="24">
        <f t="shared" si="9"/>
        <v>3.9895462697646598</v>
      </c>
    </row>
    <row r="244" spans="4:22" x14ac:dyDescent="0.2">
      <c r="D244" s="211">
        <v>52</v>
      </c>
      <c r="E244" s="24">
        <f t="shared" si="11"/>
        <v>2.1732631365113759</v>
      </c>
      <c r="F244" s="24">
        <f t="shared" si="13"/>
        <v>2.8976841820151682</v>
      </c>
      <c r="G244" s="24">
        <f t="shared" si="12"/>
        <v>3.6221052275189605</v>
      </c>
      <c r="I244" s="211">
        <v>52</v>
      </c>
      <c r="J244" s="24">
        <f t="shared" si="3"/>
        <v>2.1732631365113759</v>
      </c>
      <c r="K244" s="24">
        <f t="shared" si="4"/>
        <v>2.8976841820151682</v>
      </c>
      <c r="L244" s="24">
        <f t="shared" si="5"/>
        <v>3.6221052275189605</v>
      </c>
      <c r="R244" s="188">
        <v>52</v>
      </c>
      <c r="S244" s="209">
        <f t="shared" si="10"/>
        <v>2.1732631365113759</v>
      </c>
      <c r="T244" s="209">
        <f t="shared" si="7"/>
        <v>2.8976841820151682</v>
      </c>
      <c r="U244" s="209">
        <f t="shared" si="8"/>
        <v>3.6221052275189605</v>
      </c>
      <c r="V244" s="24">
        <f t="shared" si="9"/>
        <v>3.9128242261153394</v>
      </c>
    </row>
    <row r="245" spans="4:22" x14ac:dyDescent="0.2">
      <c r="D245" s="211">
        <v>53</v>
      </c>
      <c r="E245" s="24">
        <f t="shared" si="11"/>
        <v>2.1393336433696519</v>
      </c>
      <c r="F245" s="24">
        <f t="shared" si="13"/>
        <v>2.8524448578262027</v>
      </c>
      <c r="G245" s="24">
        <f t="shared" si="12"/>
        <v>3.5655560722827535</v>
      </c>
      <c r="I245" s="211">
        <v>53</v>
      </c>
      <c r="J245" s="24">
        <f t="shared" si="3"/>
        <v>2.1393336433696519</v>
      </c>
      <c r="K245" s="24">
        <f t="shared" si="4"/>
        <v>2.8524448578262027</v>
      </c>
      <c r="L245" s="24">
        <f t="shared" si="5"/>
        <v>3.5655560722827535</v>
      </c>
      <c r="R245" s="188">
        <v>53</v>
      </c>
      <c r="S245" s="209">
        <f t="shared" si="10"/>
        <v>2.1393336433696519</v>
      </c>
      <c r="T245" s="209">
        <f t="shared" si="7"/>
        <v>2.8524448578262027</v>
      </c>
      <c r="U245" s="209">
        <f t="shared" si="8"/>
        <v>3.5655560722827535</v>
      </c>
      <c r="V245" s="24">
        <f t="shared" si="9"/>
        <v>3.8389973539244839</v>
      </c>
    </row>
    <row r="246" spans="4:22" x14ac:dyDescent="0.2">
      <c r="D246" s="211">
        <v>54</v>
      </c>
      <c r="E246" s="24">
        <f t="shared" si="11"/>
        <v>2.1066607981220655</v>
      </c>
      <c r="F246" s="24">
        <f t="shared" si="13"/>
        <v>2.8088810641627542</v>
      </c>
      <c r="G246" s="24">
        <f t="shared" si="12"/>
        <v>3.5111013302034428</v>
      </c>
      <c r="I246" s="211">
        <v>54</v>
      </c>
      <c r="J246" s="24">
        <f t="shared" si="3"/>
        <v>2.1066607981220655</v>
      </c>
      <c r="K246" s="24">
        <f t="shared" si="4"/>
        <v>2.8088810641627542</v>
      </c>
      <c r="L246" s="24">
        <f t="shared" si="5"/>
        <v>3.5111013302034428</v>
      </c>
      <c r="R246" s="188">
        <v>54</v>
      </c>
      <c r="S246" s="209">
        <f t="shared" si="10"/>
        <v>2.1066607981220655</v>
      </c>
      <c r="T246" s="209">
        <f t="shared" si="7"/>
        <v>2.8088810641627542</v>
      </c>
      <c r="U246" s="209">
        <f t="shared" si="8"/>
        <v>3.5111013302034428</v>
      </c>
      <c r="V246" s="24">
        <f t="shared" si="9"/>
        <v>3.7679048103332895</v>
      </c>
    </row>
    <row r="247" spans="4:22" x14ac:dyDescent="0.2">
      <c r="D247" s="211">
        <v>55</v>
      </c>
      <c r="E247" s="24">
        <f t="shared" si="11"/>
        <v>2.0751760563380284</v>
      </c>
      <c r="F247" s="24">
        <f t="shared" si="13"/>
        <v>2.7669014084507042</v>
      </c>
      <c r="G247" s="24">
        <f t="shared" si="12"/>
        <v>3.45862676056338</v>
      </c>
      <c r="I247" s="211">
        <v>55</v>
      </c>
      <c r="J247" s="24">
        <f t="shared" si="3"/>
        <v>2.0751760563380284</v>
      </c>
      <c r="K247" s="24">
        <f t="shared" si="4"/>
        <v>2.7669014084507042</v>
      </c>
      <c r="L247" s="24">
        <f t="shared" si="5"/>
        <v>3.45862676056338</v>
      </c>
      <c r="R247" s="188">
        <v>55</v>
      </c>
      <c r="S247" s="209">
        <f t="shared" si="10"/>
        <v>2.0751760563380284</v>
      </c>
      <c r="T247" s="209">
        <f t="shared" si="7"/>
        <v>2.7669014084507042</v>
      </c>
      <c r="U247" s="209">
        <f t="shared" si="8"/>
        <v>3.45862676056338</v>
      </c>
      <c r="V247" s="24">
        <f t="shared" si="9"/>
        <v>3.6993974501454114</v>
      </c>
    </row>
    <row r="248" spans="4:22" x14ac:dyDescent="0.2">
      <c r="D248" s="211">
        <v>56</v>
      </c>
      <c r="E248" s="24">
        <f t="shared" si="11"/>
        <v>2.0448157696177063</v>
      </c>
      <c r="F248" s="24">
        <f t="shared" si="13"/>
        <v>2.7264210261569417</v>
      </c>
      <c r="G248" s="24">
        <f t="shared" si="12"/>
        <v>3.4080262826961771</v>
      </c>
      <c r="I248" s="211">
        <v>56</v>
      </c>
      <c r="J248" s="24">
        <f t="shared" si="3"/>
        <v>2.0448157696177063</v>
      </c>
      <c r="K248" s="24">
        <f t="shared" si="4"/>
        <v>2.7264210261569417</v>
      </c>
      <c r="L248" s="24">
        <f t="shared" si="5"/>
        <v>3.4080262826961771</v>
      </c>
      <c r="R248" s="188">
        <v>56</v>
      </c>
      <c r="S248" s="209">
        <f t="shared" si="10"/>
        <v>2.0448157696177063</v>
      </c>
      <c r="T248" s="209">
        <f t="shared" si="7"/>
        <v>2.7264210261569417</v>
      </c>
      <c r="U248" s="209">
        <f t="shared" si="8"/>
        <v>3.4080262826961771</v>
      </c>
      <c r="V248" s="24">
        <f t="shared" si="9"/>
        <v>3.6333367813928148</v>
      </c>
    </row>
    <row r="249" spans="4:22" x14ac:dyDescent="0.2">
      <c r="D249" s="211">
        <v>57</v>
      </c>
      <c r="E249" s="24">
        <f t="shared" si="11"/>
        <v>2.0155207561156416</v>
      </c>
      <c r="F249" s="24">
        <f t="shared" si="13"/>
        <v>2.6873610081541885</v>
      </c>
      <c r="G249" s="24">
        <f t="shared" si="12"/>
        <v>3.3592012601927355</v>
      </c>
      <c r="I249" s="211">
        <v>57</v>
      </c>
      <c r="J249" s="24">
        <f t="shared" si="3"/>
        <v>2.0155207561156416</v>
      </c>
      <c r="K249" s="24">
        <f t="shared" si="4"/>
        <v>2.6873610081541885</v>
      </c>
      <c r="L249" s="24">
        <f t="shared" si="5"/>
        <v>3.3592012601927355</v>
      </c>
      <c r="R249" s="188">
        <v>57</v>
      </c>
      <c r="S249" s="209">
        <f t="shared" si="10"/>
        <v>2.0155207561156416</v>
      </c>
      <c r="T249" s="209">
        <f t="shared" si="7"/>
        <v>2.6873610081541885</v>
      </c>
      <c r="U249" s="209">
        <f t="shared" si="8"/>
        <v>3.3592012601927355</v>
      </c>
      <c r="V249" s="24">
        <f t="shared" si="9"/>
        <v>3.5695940308420639</v>
      </c>
    </row>
    <row r="250" spans="4:22" x14ac:dyDescent="0.2">
      <c r="D250" s="211">
        <v>58</v>
      </c>
      <c r="E250" s="24">
        <f t="shared" si="11"/>
        <v>1.9872359154929575</v>
      </c>
      <c r="F250" s="24">
        <f t="shared" si="13"/>
        <v>2.6496478873239435</v>
      </c>
      <c r="G250" s="24">
        <f t="shared" si="12"/>
        <v>3.3120598591549295</v>
      </c>
      <c r="I250" s="211">
        <v>58</v>
      </c>
      <c r="J250" s="24">
        <f t="shared" si="3"/>
        <v>1.9872359154929575</v>
      </c>
      <c r="K250" s="24">
        <f t="shared" si="4"/>
        <v>2.6496478873239435</v>
      </c>
      <c r="L250" s="24">
        <f t="shared" si="5"/>
        <v>3.3120598591549295</v>
      </c>
      <c r="R250" s="188">
        <v>58</v>
      </c>
      <c r="S250" s="209">
        <f t="shared" si="10"/>
        <v>1.9872359154929575</v>
      </c>
      <c r="T250" s="209">
        <f t="shared" si="7"/>
        <v>2.6496478873239435</v>
      </c>
      <c r="U250" s="209">
        <f t="shared" si="8"/>
        <v>3.3120598591549295</v>
      </c>
      <c r="V250" s="24">
        <f t="shared" si="9"/>
        <v>3.508049306172373</v>
      </c>
    </row>
    <row r="251" spans="4:22" x14ac:dyDescent="0.2">
      <c r="D251" s="211">
        <v>59</v>
      </c>
      <c r="E251" s="24">
        <f t="shared" si="11"/>
        <v>1.9599098830269754</v>
      </c>
      <c r="F251" s="24">
        <f t="shared" si="13"/>
        <v>2.6132131773693006</v>
      </c>
      <c r="G251" s="24">
        <f t="shared" si="12"/>
        <v>3.2665164717116255</v>
      </c>
      <c r="I251" s="211">
        <v>59</v>
      </c>
      <c r="J251" s="24">
        <f t="shared" si="3"/>
        <v>1.9599098830269754</v>
      </c>
      <c r="K251" s="24">
        <f t="shared" si="4"/>
        <v>2.6132131773693006</v>
      </c>
      <c r="L251" s="24">
        <f t="shared" si="5"/>
        <v>3.2665164717116255</v>
      </c>
      <c r="R251" s="188">
        <v>59</v>
      </c>
      <c r="S251" s="209">
        <f t="shared" si="10"/>
        <v>1.9599098830269754</v>
      </c>
      <c r="T251" s="209">
        <f t="shared" si="7"/>
        <v>2.6132131773693006</v>
      </c>
      <c r="U251" s="209">
        <f t="shared" si="8"/>
        <v>3.2665164717116255</v>
      </c>
      <c r="V251" s="24">
        <f t="shared" si="9"/>
        <v>3.4485908433558921</v>
      </c>
    </row>
    <row r="252" spans="4:22" x14ac:dyDescent="0.2">
      <c r="D252" s="211">
        <v>60</v>
      </c>
      <c r="E252" s="24">
        <f t="shared" si="11"/>
        <v>1.9334947183098592</v>
      </c>
      <c r="F252" s="24">
        <f t="shared" si="13"/>
        <v>2.5779929577464791</v>
      </c>
      <c r="G252" s="24">
        <f t="shared" si="12"/>
        <v>3.222491197183099</v>
      </c>
      <c r="I252" s="211">
        <v>60</v>
      </c>
      <c r="J252" s="24">
        <f t="shared" si="3"/>
        <v>1.9334947183098592</v>
      </c>
      <c r="K252" s="24">
        <f t="shared" si="4"/>
        <v>2.5779929577464791</v>
      </c>
      <c r="L252" s="24">
        <f t="shared" si="5"/>
        <v>3.222491197183099</v>
      </c>
      <c r="R252" s="188">
        <v>60</v>
      </c>
      <c r="S252" s="209">
        <f t="shared" si="10"/>
        <v>1.9334947183098592</v>
      </c>
      <c r="T252" s="209">
        <f t="shared" si="7"/>
        <v>2.5779929577464791</v>
      </c>
      <c r="U252" s="209">
        <f t="shared" si="8"/>
        <v>3.222491197183099</v>
      </c>
      <c r="V252" s="24">
        <f t="shared" si="9"/>
        <v>3.3911143292999606</v>
      </c>
    </row>
    <row r="253" spans="4:22" x14ac:dyDescent="0.2">
      <c r="D253" s="211">
        <v>61</v>
      </c>
      <c r="E253" s="24">
        <f t="shared" si="11"/>
        <v>1.9079456245670747</v>
      </c>
      <c r="F253" s="24">
        <f t="shared" si="13"/>
        <v>2.5439274994227663</v>
      </c>
      <c r="G253" s="24">
        <f t="shared" si="12"/>
        <v>3.1799093742784579</v>
      </c>
      <c r="I253" s="211">
        <v>61</v>
      </c>
      <c r="J253" s="24">
        <f t="shared" si="3"/>
        <v>1.9079456245670747</v>
      </c>
      <c r="K253" s="24">
        <f t="shared" si="4"/>
        <v>2.5439274994227663</v>
      </c>
      <c r="L253" s="24">
        <f t="shared" si="5"/>
        <v>3.1799093742784579</v>
      </c>
      <c r="R253" s="188">
        <v>61</v>
      </c>
      <c r="S253" s="209">
        <f t="shared" si="10"/>
        <v>5.0000000000000003E-10</v>
      </c>
      <c r="T253" s="209">
        <f t="shared" si="7"/>
        <v>5.0000000000000003E-10</v>
      </c>
      <c r="U253" s="209">
        <f t="shared" si="8"/>
        <v>5.0000000000000003E-10</v>
      </c>
      <c r="V253" s="24">
        <f t="shared" si="9"/>
        <v>3.3355222911147155</v>
      </c>
    </row>
    <row r="254" spans="4:22" x14ac:dyDescent="0.2">
      <c r="D254" s="211">
        <v>62</v>
      </c>
      <c r="E254" s="24">
        <f t="shared" si="11"/>
        <v>1.8832206951385733</v>
      </c>
      <c r="F254" s="24">
        <f t="shared" si="13"/>
        <v>2.510960926851431</v>
      </c>
      <c r="G254" s="24">
        <f t="shared" si="12"/>
        <v>3.138701158564289</v>
      </c>
      <c r="I254" s="211">
        <v>62</v>
      </c>
      <c r="J254" s="24">
        <f t="shared" si="3"/>
        <v>1.8832206951385733</v>
      </c>
      <c r="K254" s="24">
        <f t="shared" si="4"/>
        <v>2.510960926851431</v>
      </c>
      <c r="L254" s="24">
        <f t="shared" si="5"/>
        <v>3.138701158564289</v>
      </c>
      <c r="R254" s="188">
        <v>62</v>
      </c>
      <c r="S254" s="209">
        <f t="shared" si="10"/>
        <v>5.0000000000000003E-10</v>
      </c>
      <c r="T254" s="209">
        <f t="shared" si="7"/>
        <v>5.0000000000000003E-10</v>
      </c>
      <c r="U254" s="209">
        <f t="shared" si="8"/>
        <v>5.0000000000000003E-10</v>
      </c>
      <c r="V254" s="24">
        <f t="shared" si="9"/>
        <v>3.2817235444838331</v>
      </c>
    </row>
    <row r="255" spans="4:22" x14ac:dyDescent="0.2">
      <c r="D255" s="211">
        <v>63</v>
      </c>
      <c r="E255" s="24">
        <f t="shared" si="11"/>
        <v>1.8592806841046279</v>
      </c>
      <c r="F255" s="24">
        <f t="shared" si="13"/>
        <v>2.4790409121395038</v>
      </c>
      <c r="G255" s="24">
        <f t="shared" si="12"/>
        <v>3.0988011401743796</v>
      </c>
      <c r="I255" s="211">
        <v>63</v>
      </c>
      <c r="J255" s="24">
        <f t="shared" si="3"/>
        <v>1.8592806841046279</v>
      </c>
      <c r="K255" s="24">
        <f t="shared" si="4"/>
        <v>2.4790409121395038</v>
      </c>
      <c r="L255" s="24">
        <f t="shared" si="5"/>
        <v>3.0988011401743796</v>
      </c>
      <c r="R255" s="188">
        <v>63</v>
      </c>
      <c r="S255" s="209">
        <f t="shared" si="10"/>
        <v>5.0000000000000003E-10</v>
      </c>
      <c r="T255" s="209">
        <f t="shared" si="7"/>
        <v>5.0000000000000003E-10</v>
      </c>
      <c r="U255" s="209">
        <f t="shared" si="8"/>
        <v>5.0000000000000003E-10</v>
      </c>
      <c r="V255" s="24">
        <f t="shared" si="9"/>
        <v>3.2296326945713911</v>
      </c>
    </row>
    <row r="256" spans="4:22" x14ac:dyDescent="0.2">
      <c r="D256" s="211">
        <v>64</v>
      </c>
      <c r="E256" s="24">
        <f t="shared" si="11"/>
        <v>1.836088798415493</v>
      </c>
      <c r="F256" s="24">
        <f t="shared" si="13"/>
        <v>2.448118397887324</v>
      </c>
      <c r="G256" s="24">
        <f t="shared" si="12"/>
        <v>3.060147997359155</v>
      </c>
      <c r="I256" s="211">
        <v>64</v>
      </c>
      <c r="J256" s="24">
        <f t="shared" si="3"/>
        <v>1.836088798415493</v>
      </c>
      <c r="K256" s="24">
        <f t="shared" si="4"/>
        <v>2.448118397887324</v>
      </c>
      <c r="L256" s="24">
        <f t="shared" si="5"/>
        <v>3.060147997359155</v>
      </c>
      <c r="R256" s="188">
        <v>64</v>
      </c>
      <c r="S256" s="209">
        <f t="shared" si="10"/>
        <v>5.0000000000000003E-10</v>
      </c>
      <c r="T256" s="209">
        <f t="shared" si="7"/>
        <v>5.0000000000000003E-10</v>
      </c>
      <c r="U256" s="209">
        <f t="shared" si="8"/>
        <v>5.0000000000000003E-10</v>
      </c>
      <c r="V256" s="24">
        <f t="shared" si="9"/>
        <v>3.1791696837187131</v>
      </c>
    </row>
    <row r="257" spans="4:22" x14ac:dyDescent="0.2">
      <c r="D257" s="211">
        <v>65</v>
      </c>
      <c r="E257" s="24">
        <f t="shared" si="11"/>
        <v>1.8136105092091008</v>
      </c>
      <c r="F257" s="24">
        <f t="shared" si="13"/>
        <v>2.4181473456121343</v>
      </c>
      <c r="G257" s="24">
        <f t="shared" si="12"/>
        <v>3.0226841820151678</v>
      </c>
      <c r="I257" s="211">
        <v>65</v>
      </c>
      <c r="J257" s="24">
        <f t="shared" ref="J257" si="14">IF(E257&gt;$F$179,$F$179,E257)</f>
        <v>1.8136105092091008</v>
      </c>
      <c r="K257" s="24">
        <f t="shared" ref="K257" si="15">IF(F257&gt;$F$180,$F$180,F257)</f>
        <v>2.4181473456121343</v>
      </c>
      <c r="L257" s="24">
        <f t="shared" ref="L257" si="16">IF(G257&gt;$F$181,$F$181,G257)</f>
        <v>3.0226841820151678</v>
      </c>
      <c r="R257" s="188">
        <v>65</v>
      </c>
      <c r="S257" s="209">
        <f t="shared" si="10"/>
        <v>5.0000000000000003E-10</v>
      </c>
      <c r="T257" s="209">
        <f t="shared" si="7"/>
        <v>5.0000000000000003E-10</v>
      </c>
      <c r="U257" s="209">
        <f t="shared" si="8"/>
        <v>5.0000000000000003E-10</v>
      </c>
      <c r="V257" s="24">
        <f t="shared" si="9"/>
        <v>3.1302593808922712</v>
      </c>
    </row>
    <row r="258" spans="4:22" x14ac:dyDescent="0.2">
      <c r="D258" s="205"/>
      <c r="E258" s="204"/>
      <c r="F258" s="204"/>
      <c r="G258" s="204"/>
    </row>
    <row r="259" spans="4:22" x14ac:dyDescent="0.2">
      <c r="D259" s="205"/>
      <c r="E259" s="204"/>
      <c r="F259" s="204"/>
      <c r="G259" s="204"/>
    </row>
    <row r="260" spans="4:22" x14ac:dyDescent="0.2">
      <c r="D260" s="205"/>
      <c r="E260" s="204"/>
      <c r="F260" s="204"/>
      <c r="G260" s="204"/>
    </row>
    <row r="261" spans="4:22" x14ac:dyDescent="0.2">
      <c r="D261" s="205"/>
      <c r="E261" s="204"/>
      <c r="F261" s="204"/>
      <c r="G261" s="204"/>
    </row>
    <row r="262" spans="4:22" x14ac:dyDescent="0.2">
      <c r="D262" s="205"/>
      <c r="E262" s="204"/>
      <c r="F262" s="204"/>
      <c r="G262" s="204"/>
    </row>
    <row r="264" spans="4:22" x14ac:dyDescent="0.2">
      <c r="D264" s="28" t="s">
        <v>328</v>
      </c>
    </row>
    <row r="266" spans="4:22" x14ac:dyDescent="0.2">
      <c r="D266" s="28" t="s">
        <v>329</v>
      </c>
      <c r="E266">
        <f>'Device Parmaters'!E12</f>
        <v>1E-3</v>
      </c>
    </row>
    <row r="267" spans="4:22" x14ac:dyDescent="0.2">
      <c r="D267" s="28" t="s">
        <v>330</v>
      </c>
      <c r="E267">
        <f>RsEFF*0.001</f>
        <v>2E-3</v>
      </c>
    </row>
    <row r="268" spans="4:22" x14ac:dyDescent="0.2">
      <c r="D268" s="28" t="s">
        <v>331</v>
      </c>
      <c r="E268">
        <f>VINMAX</f>
        <v>60.5</v>
      </c>
    </row>
    <row r="269" spans="4:22" x14ac:dyDescent="0.2">
      <c r="D269" s="28" t="s">
        <v>332</v>
      </c>
      <c r="E269" s="124"/>
      <c r="F269">
        <v>0.25</v>
      </c>
    </row>
    <row r="271" spans="4:22" x14ac:dyDescent="0.2">
      <c r="D271" s="128" t="s">
        <v>294</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88" zoomScale="85" zoomScaleNormal="85" workbookViewId="0">
      <selection activeCell="K8" sqref="K8"/>
    </sheetView>
  </sheetViews>
  <sheetFormatPr defaultColWidth="9.140625" defaultRowHeight="12.75" x14ac:dyDescent="0.2"/>
  <cols>
    <col min="1" max="1" width="11" style="55" customWidth="1"/>
    <col min="2" max="3" width="9.140625" style="55"/>
    <col min="4" max="5" width="15" style="55" customWidth="1"/>
    <col min="6" max="6" width="15.42578125" style="55" customWidth="1"/>
    <col min="7" max="7" width="14.85546875" style="55" customWidth="1"/>
    <col min="8" max="8" width="10.7109375" style="55" customWidth="1"/>
    <col min="9" max="9" width="12.42578125" style="55" bestFit="1" customWidth="1"/>
    <col min="10" max="10" width="14.85546875" style="55" customWidth="1"/>
    <col min="11" max="11" width="12.85546875" style="55" customWidth="1"/>
    <col min="12" max="12" width="14.28515625" style="55" customWidth="1"/>
    <col min="13" max="13" width="20.85546875" style="55" customWidth="1"/>
    <col min="14" max="14" width="12.7109375" style="55" customWidth="1"/>
    <col min="15" max="15" width="10.140625" style="55" bestFit="1" customWidth="1"/>
    <col min="16" max="16" width="18.85546875" style="55" customWidth="1"/>
    <col min="17" max="17" width="10.85546875" style="55" customWidth="1"/>
    <col min="18" max="16384" width="9.140625" style="55"/>
  </cols>
  <sheetData>
    <row r="1" spans="1:25" x14ac:dyDescent="0.2">
      <c r="B1" s="55" t="s">
        <v>133</v>
      </c>
      <c r="C1" s="55" t="s">
        <v>304</v>
      </c>
      <c r="D1" s="55" t="s">
        <v>305</v>
      </c>
      <c r="F1" s="142" t="s">
        <v>339</v>
      </c>
      <c r="G1" s="142" t="s">
        <v>306</v>
      </c>
      <c r="H1" s="142" t="s">
        <v>307</v>
      </c>
      <c r="I1" s="142" t="s">
        <v>308</v>
      </c>
      <c r="J1" s="142" t="s">
        <v>309</v>
      </c>
      <c r="K1" s="142"/>
      <c r="L1" s="142"/>
      <c r="M1" s="142" t="s">
        <v>313</v>
      </c>
      <c r="N1" s="142"/>
      <c r="O1" s="142" t="s">
        <v>314</v>
      </c>
      <c r="Q1" s="55" t="s">
        <v>354</v>
      </c>
      <c r="R1" s="55" t="s">
        <v>355</v>
      </c>
    </row>
    <row r="2" spans="1:25" x14ac:dyDescent="0.2">
      <c r="B2" s="132">
        <f>'Design Calculator'!F51</f>
        <v>154.92957746478874</v>
      </c>
      <c r="C2" s="55">
        <f>'Design Calculator'!F30</f>
        <v>25</v>
      </c>
      <c r="D2" s="55" t="str">
        <f>IF( 'Design Calculator'!F53 = "Constant Current", "CC", "R")</f>
        <v>CC</v>
      </c>
      <c r="F2" s="55" t="str">
        <f>'Design Calculator'!F55</f>
        <v>No</v>
      </c>
      <c r="G2" s="55">
        <f>'Design Calculator'!F54</f>
        <v>6</v>
      </c>
      <c r="H2" s="55">
        <f>'Design Calculator'!F52</f>
        <v>1</v>
      </c>
      <c r="I2" s="55">
        <f>RsEFF</f>
        <v>2</v>
      </c>
      <c r="J2" s="55">
        <f>'Device Parmaters'!E12</f>
        <v>1E-3</v>
      </c>
      <c r="M2" s="132">
        <f>J114*1000</f>
        <v>4.1473474587477623</v>
      </c>
      <c r="N2" s="55" t="s">
        <v>8</v>
      </c>
      <c r="O2" s="136">
        <f>MIN(L10:L111)</f>
        <v>1</v>
      </c>
      <c r="Q2" s="55">
        <f>'Device Parmaters'!E30/'Device Parmaters'!D30</f>
        <v>1.3846153846153846</v>
      </c>
      <c r="R2" s="55">
        <f>'Device Parmaters'!C30/'Device Parmaters'!D30</f>
        <v>0.61538461538461542</v>
      </c>
    </row>
    <row r="3" spans="1:25" x14ac:dyDescent="0.2">
      <c r="B3" s="132"/>
      <c r="M3" s="132"/>
      <c r="O3" s="136"/>
    </row>
    <row r="4" spans="1:25" x14ac:dyDescent="0.2">
      <c r="B4" s="132"/>
      <c r="D4" s="55" t="s">
        <v>346</v>
      </c>
      <c r="M4" s="132" t="s">
        <v>347</v>
      </c>
      <c r="N4" s="55">
        <f>MIN(M10:M114)</f>
        <v>3.6583135174684469</v>
      </c>
      <c r="O4" s="136" t="s">
        <v>343</v>
      </c>
      <c r="P4" s="55" t="s">
        <v>356</v>
      </c>
      <c r="Q4" s="55">
        <f>MAX(O10:O114)</f>
        <v>154.92957746478876</v>
      </c>
      <c r="R4" s="55" t="s">
        <v>90</v>
      </c>
    </row>
    <row r="5" spans="1:25" x14ac:dyDescent="0.2">
      <c r="B5" s="132"/>
      <c r="M5" s="55" t="s">
        <v>348</v>
      </c>
      <c r="N5" s="55">
        <f>SUM(N10:N114)</f>
        <v>0.63442207876732326</v>
      </c>
      <c r="O5" s="136" t="s">
        <v>349</v>
      </c>
      <c r="P5" s="55" t="s">
        <v>358</v>
      </c>
      <c r="Q5" s="55">
        <f>MAX(P10:P114)</f>
        <v>0</v>
      </c>
      <c r="R5" s="55" t="s">
        <v>90</v>
      </c>
    </row>
    <row r="6" spans="1:25" x14ac:dyDescent="0.2">
      <c r="P6" s="55" t="s">
        <v>357</v>
      </c>
      <c r="Q6" s="55">
        <f>MAX(Q10:Q114)</f>
        <v>0</v>
      </c>
      <c r="R6" s="55" t="s">
        <v>90</v>
      </c>
    </row>
    <row r="7" spans="1:25" x14ac:dyDescent="0.2">
      <c r="A7" s="224" t="s">
        <v>450</v>
      </c>
      <c r="B7" s="221" t="s">
        <v>451</v>
      </c>
      <c r="C7" s="202" t="s">
        <v>128</v>
      </c>
      <c r="D7" s="202" t="s">
        <v>133</v>
      </c>
      <c r="E7" s="134" t="s">
        <v>337</v>
      </c>
      <c r="F7" s="134" t="s">
        <v>338</v>
      </c>
      <c r="G7" s="134" t="s">
        <v>311</v>
      </c>
      <c r="H7" s="134" t="s">
        <v>156</v>
      </c>
      <c r="I7" s="134" t="s">
        <v>310</v>
      </c>
      <c r="J7" s="135" t="s">
        <v>141</v>
      </c>
      <c r="K7" s="135" t="s">
        <v>452</v>
      </c>
      <c r="L7" s="133" t="s">
        <v>312</v>
      </c>
      <c r="M7" s="133" t="s">
        <v>350</v>
      </c>
      <c r="N7" s="133" t="s">
        <v>387</v>
      </c>
      <c r="O7" s="133" t="s">
        <v>351</v>
      </c>
      <c r="P7" s="55" t="s">
        <v>352</v>
      </c>
      <c r="Q7" s="55" t="s">
        <v>353</v>
      </c>
    </row>
    <row r="8" spans="1:25" x14ac:dyDescent="0.2">
      <c r="A8" s="225"/>
      <c r="B8" s="221"/>
      <c r="C8" s="202"/>
      <c r="D8" s="202"/>
      <c r="E8" s="134"/>
      <c r="F8" s="134"/>
      <c r="G8" s="134"/>
      <c r="H8" s="134"/>
      <c r="I8" s="134"/>
      <c r="J8" s="135"/>
      <c r="K8" s="184">
        <v>-10</v>
      </c>
      <c r="L8" s="133"/>
      <c r="M8" s="133"/>
      <c r="N8" s="133"/>
      <c r="O8" s="55">
        <v>0</v>
      </c>
    </row>
    <row r="9" spans="1:25" x14ac:dyDescent="0.2">
      <c r="A9" s="225"/>
      <c r="B9" s="221"/>
      <c r="C9" s="202"/>
      <c r="D9" s="202"/>
      <c r="E9" s="134"/>
      <c r="F9" s="134"/>
      <c r="G9" s="134"/>
      <c r="H9" s="134"/>
      <c r="I9" s="134"/>
      <c r="J9" s="135"/>
      <c r="K9" s="64">
        <v>-0.01</v>
      </c>
      <c r="L9" s="133"/>
      <c r="M9" s="133"/>
      <c r="N9" s="133"/>
      <c r="O9" s="55">
        <v>0</v>
      </c>
    </row>
    <row r="10" spans="1:25" x14ac:dyDescent="0.2">
      <c r="A10" s="223">
        <v>0</v>
      </c>
      <c r="B10" s="222">
        <f t="shared" ref="B10:B41" si="0">VINMAX*(1-((ROW()-10)/104))</f>
        <v>60.5</v>
      </c>
      <c r="C10" s="56">
        <f>IF(B10&lt;=$H$2,IF($D$2="CC", $G$2, B10/$G$2), 0)</f>
        <v>0</v>
      </c>
      <c r="D10" s="203">
        <f>B2</f>
        <v>154.92957746478874</v>
      </c>
      <c r="E10" s="54">
        <f>MIN(D10/(B10-A10),$C$2)</f>
        <v>2.5608194622279128</v>
      </c>
      <c r="F10" s="56">
        <f>I_Cout_ss+C10</f>
        <v>0.182</v>
      </c>
      <c r="G10" s="54">
        <f>IF($F$2="YES", F10, E10)</f>
        <v>2.5608194622279128</v>
      </c>
      <c r="H10" s="56">
        <f t="shared" ref="H10:H41" si="1">G10-C10</f>
        <v>2.5608194622279128</v>
      </c>
      <c r="I10" s="57">
        <v>0</v>
      </c>
      <c r="J10" s="63">
        <f>I10</f>
        <v>0</v>
      </c>
      <c r="K10" s="184">
        <f>J10*1000</f>
        <v>0</v>
      </c>
      <c r="L10" s="136">
        <f>H10/G10</f>
        <v>1</v>
      </c>
      <c r="M10" s="55">
        <f t="shared" ref="M10:M41" si="2">1/COUTMAX*(E10/2-C10)*1000</f>
        <v>3.6583135174684469</v>
      </c>
      <c r="N10" s="55">
        <f>I10*G10*(B10-A10)</f>
        <v>0</v>
      </c>
      <c r="O10" s="55">
        <f>G10*(B10-A10)</f>
        <v>154.92957746478874</v>
      </c>
      <c r="P10" s="55">
        <f t="shared" ref="P10:P41" si="3">(A10-B10)*(I_Cout_ss*$Q$2+C10)</f>
        <v>-15.246</v>
      </c>
      <c r="Q10" s="55">
        <f t="shared" ref="Q10:Q41" si="4">(A10-B10)*(I_Cout_ss*$R$2+C10)</f>
        <v>-6.7759999999999998</v>
      </c>
    </row>
    <row r="11" spans="1:25" x14ac:dyDescent="0.2">
      <c r="A11" s="223">
        <v>0</v>
      </c>
      <c r="B11" s="222">
        <f t="shared" si="0"/>
        <v>59.918269230769234</v>
      </c>
      <c r="C11" s="56">
        <f t="shared" ref="C11:C74" si="5">IF(B11&lt;=$H$2,IF($D$2="CC", $G$2, B11/$G$2), 0)</f>
        <v>0</v>
      </c>
      <c r="D11" s="203">
        <f>B2</f>
        <v>154.92957746478874</v>
      </c>
      <c r="E11" s="54">
        <f t="shared" ref="E11:E74" si="6">MIN(D11/(B11-A11),$C$2)</f>
        <v>2.5856817871039119</v>
      </c>
      <c r="F11" s="56">
        <f t="shared" ref="F11:F41" si="7">I_Cout_ss+C11</f>
        <v>0.182</v>
      </c>
      <c r="G11" s="54">
        <f t="shared" ref="G11:G74" si="8">IF($F$2="YES", F11, E11)</f>
        <v>2.5856817871039119</v>
      </c>
      <c r="H11" s="56">
        <f t="shared" si="1"/>
        <v>2.5856817871039119</v>
      </c>
      <c r="I11" s="57">
        <f t="shared" ref="I11:I41" si="9">(COUTMAX/1000000)*(B10-B11)/H11</f>
        <v>7.8743552376109102E-5</v>
      </c>
      <c r="J11" s="63">
        <f>J10+I11</f>
        <v>7.8743552376109102E-5</v>
      </c>
      <c r="K11" s="184">
        <f t="shared" ref="K11:K74" si="10">J11*1000</f>
        <v>7.8743552376109097E-2</v>
      </c>
      <c r="L11" s="136">
        <f t="shared" ref="L11:L74" si="11">H11/G11</f>
        <v>1</v>
      </c>
      <c r="M11" s="55">
        <f t="shared" si="2"/>
        <v>3.6938311244341597</v>
      </c>
      <c r="N11" s="55">
        <f>I11*G11*(B11-A11)</f>
        <v>1.2199705297707043E-2</v>
      </c>
      <c r="O11" s="55">
        <f t="shared" ref="O11:O74" si="12">G11*(B11-A11)</f>
        <v>154.92957746478874</v>
      </c>
      <c r="P11" s="55">
        <f t="shared" si="3"/>
        <v>-15.099403846153846</v>
      </c>
      <c r="Q11" s="55">
        <f t="shared" si="4"/>
        <v>-6.7108461538461546</v>
      </c>
    </row>
    <row r="12" spans="1:25" x14ac:dyDescent="0.2">
      <c r="A12" s="223">
        <v>0</v>
      </c>
      <c r="B12" s="222">
        <f t="shared" si="0"/>
        <v>59.33653846153846</v>
      </c>
      <c r="C12" s="56">
        <f t="shared" si="5"/>
        <v>0</v>
      </c>
      <c r="D12" s="203">
        <f>B2</f>
        <v>154.92957746478874</v>
      </c>
      <c r="E12" s="54">
        <f t="shared" si="6"/>
        <v>2.6110316085461074</v>
      </c>
      <c r="F12" s="56">
        <f t="shared" si="7"/>
        <v>0.182</v>
      </c>
      <c r="G12" s="54">
        <f t="shared" si="8"/>
        <v>2.6110316085461074</v>
      </c>
      <c r="H12" s="56">
        <f t="shared" si="1"/>
        <v>2.6110316085461074</v>
      </c>
      <c r="I12" s="57">
        <f t="shared" si="9"/>
        <v>7.7979051867604131E-5</v>
      </c>
      <c r="J12" s="63">
        <f t="shared" ref="J12:J75" si="13">J11+I12</f>
        <v>1.5672260424371323E-4</v>
      </c>
      <c r="K12" s="184">
        <f t="shared" si="10"/>
        <v>0.15672260424371323</v>
      </c>
      <c r="L12" s="136">
        <f t="shared" si="11"/>
        <v>1</v>
      </c>
      <c r="M12" s="55">
        <f t="shared" si="2"/>
        <v>3.7300451550658678</v>
      </c>
      <c r="N12" s="55">
        <f>I12*G12*(B12-A12)</f>
        <v>1.2081261556952752E-2</v>
      </c>
      <c r="O12" s="55">
        <f t="shared" si="12"/>
        <v>154.92957746478874</v>
      </c>
      <c r="P12" s="55">
        <f t="shared" si="3"/>
        <v>-14.952807692307692</v>
      </c>
      <c r="Q12" s="55">
        <f t="shared" si="4"/>
        <v>-6.6456923076923076</v>
      </c>
      <c r="X12" s="357" t="s">
        <v>129</v>
      </c>
      <c r="Y12" s="357"/>
    </row>
    <row r="13" spans="1:25" x14ac:dyDescent="0.2">
      <c r="A13" s="223">
        <v>0</v>
      </c>
      <c r="B13" s="222">
        <f t="shared" si="0"/>
        <v>58.754807692307693</v>
      </c>
      <c r="C13" s="56">
        <f t="shared" si="5"/>
        <v>0</v>
      </c>
      <c r="D13" s="203">
        <f>B2</f>
        <v>154.92957746478874</v>
      </c>
      <c r="E13" s="54">
        <f t="shared" si="6"/>
        <v>2.636883406650524</v>
      </c>
      <c r="F13" s="56">
        <f t="shared" si="7"/>
        <v>0.182</v>
      </c>
      <c r="G13" s="54">
        <f t="shared" si="8"/>
        <v>2.636883406650524</v>
      </c>
      <c r="H13" s="56">
        <f t="shared" si="1"/>
        <v>2.636883406650524</v>
      </c>
      <c r="I13" s="57">
        <f t="shared" si="9"/>
        <v>7.7214551359097277E-5</v>
      </c>
      <c r="J13" s="63">
        <f t="shared" si="13"/>
        <v>2.3393715560281051E-4</v>
      </c>
      <c r="K13" s="184">
        <f t="shared" si="10"/>
        <v>0.2339371556028105</v>
      </c>
      <c r="L13" s="136">
        <f t="shared" si="11"/>
        <v>1</v>
      </c>
      <c r="M13" s="55">
        <f t="shared" si="2"/>
        <v>3.7669762952150343</v>
      </c>
      <c r="N13" s="55">
        <f t="shared" ref="N13:N76" si="14">I13*G13*(B13-A13)</f>
        <v>1.196281781619817E-2</v>
      </c>
      <c r="O13" s="55">
        <f t="shared" si="12"/>
        <v>154.92957746478874</v>
      </c>
      <c r="P13" s="55">
        <f t="shared" si="3"/>
        <v>-14.80621153846154</v>
      </c>
      <c r="Q13" s="55">
        <f t="shared" si="4"/>
        <v>-6.5805384615384614</v>
      </c>
      <c r="X13" s="58" t="s">
        <v>130</v>
      </c>
      <c r="Y13" s="59">
        <v>0.3</v>
      </c>
    </row>
    <row r="14" spans="1:25" x14ac:dyDescent="0.2">
      <c r="A14" s="223">
        <v>0</v>
      </c>
      <c r="B14" s="222">
        <f t="shared" si="0"/>
        <v>58.173076923076927</v>
      </c>
      <c r="C14" s="56">
        <f t="shared" si="5"/>
        <v>0</v>
      </c>
      <c r="D14" s="203">
        <f>B2</f>
        <v>154.92957746478874</v>
      </c>
      <c r="E14" s="54">
        <f t="shared" si="6"/>
        <v>2.6632522407170294</v>
      </c>
      <c r="F14" s="56">
        <f t="shared" si="7"/>
        <v>0.182</v>
      </c>
      <c r="G14" s="54">
        <f t="shared" si="8"/>
        <v>2.6632522407170294</v>
      </c>
      <c r="H14" s="56">
        <f t="shared" si="1"/>
        <v>2.6632522407170294</v>
      </c>
      <c r="I14" s="57">
        <f t="shared" si="9"/>
        <v>7.6450050850591358E-5</v>
      </c>
      <c r="J14" s="63">
        <f t="shared" si="13"/>
        <v>3.1038720645340187E-4</v>
      </c>
      <c r="K14" s="184">
        <f t="shared" si="10"/>
        <v>0.31038720645340184</v>
      </c>
      <c r="L14" s="136">
        <f t="shared" si="11"/>
        <v>1</v>
      </c>
      <c r="M14" s="55">
        <f t="shared" si="2"/>
        <v>3.8046460581671848</v>
      </c>
      <c r="N14" s="55">
        <f t="shared" si="14"/>
        <v>1.1844374075443731E-2</v>
      </c>
      <c r="O14" s="55">
        <f t="shared" si="12"/>
        <v>154.92957746478874</v>
      </c>
      <c r="P14" s="55">
        <f t="shared" si="3"/>
        <v>-14.659615384615385</v>
      </c>
      <c r="Q14" s="55">
        <f t="shared" si="4"/>
        <v>-6.5153846153846162</v>
      </c>
      <c r="X14" s="58" t="s">
        <v>131</v>
      </c>
      <c r="Y14" s="59">
        <v>0.3</v>
      </c>
    </row>
    <row r="15" spans="1:25" x14ac:dyDescent="0.2">
      <c r="A15" s="223">
        <v>0</v>
      </c>
      <c r="B15" s="222">
        <f t="shared" si="0"/>
        <v>57.591346153846153</v>
      </c>
      <c r="C15" s="56">
        <f t="shared" si="5"/>
        <v>0</v>
      </c>
      <c r="D15" s="203">
        <f>B2</f>
        <v>154.92957746478874</v>
      </c>
      <c r="E15" s="54">
        <f t="shared" si="6"/>
        <v>2.69015377850205</v>
      </c>
      <c r="F15" s="56">
        <f t="shared" si="7"/>
        <v>0.182</v>
      </c>
      <c r="G15" s="54">
        <f t="shared" si="8"/>
        <v>2.69015377850205</v>
      </c>
      <c r="H15" s="56">
        <f t="shared" si="1"/>
        <v>2.69015377850205</v>
      </c>
      <c r="I15" s="57">
        <f t="shared" si="9"/>
        <v>7.5685550342086361E-5</v>
      </c>
      <c r="J15" s="63">
        <f t="shared" si="13"/>
        <v>3.8607275679548826E-4</v>
      </c>
      <c r="K15" s="184">
        <f t="shared" si="10"/>
        <v>0.38607275679548825</v>
      </c>
      <c r="L15" s="136">
        <f t="shared" si="11"/>
        <v>1</v>
      </c>
      <c r="M15" s="55">
        <f t="shared" si="2"/>
        <v>3.8430768264315001</v>
      </c>
      <c r="N15" s="55">
        <f t="shared" si="14"/>
        <v>1.1725930334689437E-2</v>
      </c>
      <c r="O15" s="55">
        <f t="shared" si="12"/>
        <v>154.92957746478874</v>
      </c>
      <c r="P15" s="55">
        <f t="shared" si="3"/>
        <v>-14.513019230769231</v>
      </c>
      <c r="Q15" s="55">
        <f t="shared" si="4"/>
        <v>-6.4502307692307692</v>
      </c>
      <c r="X15" s="58" t="s">
        <v>132</v>
      </c>
      <c r="Y15" s="59">
        <f>SQRT(Y14^2+Y13^2)</f>
        <v>0.42426406871192851</v>
      </c>
    </row>
    <row r="16" spans="1:25" x14ac:dyDescent="0.2">
      <c r="A16" s="223">
        <v>0</v>
      </c>
      <c r="B16" s="222">
        <f t="shared" si="0"/>
        <v>57.009615384615387</v>
      </c>
      <c r="C16" s="56">
        <f t="shared" si="5"/>
        <v>0</v>
      </c>
      <c r="D16" s="203">
        <f>B2</f>
        <v>154.92957746478874</v>
      </c>
      <c r="E16" s="54">
        <f t="shared" si="6"/>
        <v>2.7176043272622747</v>
      </c>
      <c r="F16" s="56">
        <f t="shared" si="7"/>
        <v>0.182</v>
      </c>
      <c r="G16" s="54">
        <f t="shared" si="8"/>
        <v>2.7176043272622747</v>
      </c>
      <c r="H16" s="56">
        <f t="shared" si="1"/>
        <v>2.7176043272622747</v>
      </c>
      <c r="I16" s="57">
        <f t="shared" si="9"/>
        <v>7.4921049833579534E-5</v>
      </c>
      <c r="J16" s="63">
        <f t="shared" si="13"/>
        <v>4.6099380662906778E-4</v>
      </c>
      <c r="K16" s="184">
        <f t="shared" si="10"/>
        <v>0.46099380662906775</v>
      </c>
      <c r="L16" s="136">
        <f t="shared" si="11"/>
        <v>1</v>
      </c>
      <c r="M16" s="55">
        <f t="shared" si="2"/>
        <v>3.8822918960889639</v>
      </c>
      <c r="N16" s="55">
        <f t="shared" si="14"/>
        <v>1.1607486593934856E-2</v>
      </c>
      <c r="O16" s="55">
        <f t="shared" si="12"/>
        <v>154.92957746478874</v>
      </c>
      <c r="P16" s="55">
        <f t="shared" si="3"/>
        <v>-14.366423076923077</v>
      </c>
      <c r="Q16" s="55">
        <f t="shared" si="4"/>
        <v>-6.3850769230769231</v>
      </c>
      <c r="X16" s="59"/>
      <c r="Y16" s="59"/>
    </row>
    <row r="17" spans="1:25" x14ac:dyDescent="0.2">
      <c r="A17" s="223">
        <v>0</v>
      </c>
      <c r="B17" s="222">
        <f t="shared" si="0"/>
        <v>56.427884615384613</v>
      </c>
      <c r="C17" s="56">
        <f t="shared" si="5"/>
        <v>0</v>
      </c>
      <c r="D17" s="203">
        <f>B2</f>
        <v>154.92957746478874</v>
      </c>
      <c r="E17" s="54">
        <f t="shared" si="6"/>
        <v>2.7456208667185873</v>
      </c>
      <c r="F17" s="56">
        <f t="shared" si="7"/>
        <v>0.182</v>
      </c>
      <c r="G17" s="54">
        <f t="shared" si="8"/>
        <v>2.7456208667185873</v>
      </c>
      <c r="H17" s="56">
        <f t="shared" si="1"/>
        <v>2.7456208667185873</v>
      </c>
      <c r="I17" s="57">
        <f t="shared" si="9"/>
        <v>7.4156549325074509E-5</v>
      </c>
      <c r="J17" s="63">
        <f t="shared" si="13"/>
        <v>5.3515035595414233E-4</v>
      </c>
      <c r="K17" s="184">
        <f t="shared" si="10"/>
        <v>0.53515035595414229</v>
      </c>
      <c r="L17" s="136">
        <f t="shared" si="11"/>
        <v>1</v>
      </c>
      <c r="M17" s="55">
        <f t="shared" si="2"/>
        <v>3.9223155238836958</v>
      </c>
      <c r="N17" s="55">
        <f t="shared" si="14"/>
        <v>1.1489042853180559E-2</v>
      </c>
      <c r="O17" s="55">
        <f t="shared" si="12"/>
        <v>154.92957746478874</v>
      </c>
      <c r="P17" s="55">
        <f t="shared" si="3"/>
        <v>-14.219826923076923</v>
      </c>
      <c r="Q17" s="55">
        <f t="shared" si="4"/>
        <v>-6.319923076923077</v>
      </c>
      <c r="X17" s="58" t="s">
        <v>133</v>
      </c>
      <c r="Y17" s="59">
        <v>0.3</v>
      </c>
    </row>
    <row r="18" spans="1:25" x14ac:dyDescent="0.2">
      <c r="A18" s="223">
        <v>0</v>
      </c>
      <c r="B18" s="222">
        <f t="shared" si="0"/>
        <v>55.846153846153847</v>
      </c>
      <c r="C18" s="56">
        <f t="shared" si="5"/>
        <v>0</v>
      </c>
      <c r="D18" s="203">
        <f>B2</f>
        <v>154.92957746478874</v>
      </c>
      <c r="E18" s="54">
        <f t="shared" si="6"/>
        <v>2.774221084080239</v>
      </c>
      <c r="F18" s="56">
        <f t="shared" si="7"/>
        <v>0.182</v>
      </c>
      <c r="G18" s="54">
        <f t="shared" si="8"/>
        <v>2.774221084080239</v>
      </c>
      <c r="H18" s="56">
        <f t="shared" si="1"/>
        <v>2.774221084080239</v>
      </c>
      <c r="I18" s="57">
        <f t="shared" si="9"/>
        <v>7.3392048816567696E-5</v>
      </c>
      <c r="J18" s="63">
        <f t="shared" si="13"/>
        <v>6.0854240477071001E-4</v>
      </c>
      <c r="K18" s="184">
        <f t="shared" si="10"/>
        <v>0.60854240477070998</v>
      </c>
      <c r="L18" s="136">
        <f t="shared" si="11"/>
        <v>1</v>
      </c>
      <c r="M18" s="55">
        <f t="shared" si="2"/>
        <v>3.963172977257484</v>
      </c>
      <c r="N18" s="55">
        <f t="shared" si="14"/>
        <v>1.1370599112425982E-2</v>
      </c>
      <c r="O18" s="55">
        <f t="shared" si="12"/>
        <v>154.92957746478874</v>
      </c>
      <c r="P18" s="55">
        <f t="shared" si="3"/>
        <v>-14.07323076923077</v>
      </c>
      <c r="Q18" s="55">
        <f t="shared" si="4"/>
        <v>-6.2547692307692309</v>
      </c>
      <c r="X18" s="58" t="s">
        <v>134</v>
      </c>
      <c r="Y18" s="59">
        <f>MAX(Y15:Y17)</f>
        <v>0.42426406871192851</v>
      </c>
    </row>
    <row r="19" spans="1:25" x14ac:dyDescent="0.2">
      <c r="A19" s="223">
        <v>0</v>
      </c>
      <c r="B19" s="222">
        <f t="shared" si="0"/>
        <v>55.264423076923073</v>
      </c>
      <c r="C19" s="56">
        <f t="shared" si="5"/>
        <v>0</v>
      </c>
      <c r="D19" s="203">
        <f>B2</f>
        <v>154.92957746478874</v>
      </c>
      <c r="E19" s="54">
        <f t="shared" si="6"/>
        <v>2.8034234112810839</v>
      </c>
      <c r="F19" s="56">
        <f t="shared" si="7"/>
        <v>0.182</v>
      </c>
      <c r="G19" s="54">
        <f t="shared" si="8"/>
        <v>2.8034234112810839</v>
      </c>
      <c r="H19" s="56">
        <f t="shared" si="1"/>
        <v>2.8034234112810839</v>
      </c>
      <c r="I19" s="57">
        <f t="shared" si="9"/>
        <v>7.2627548308062671E-5</v>
      </c>
      <c r="J19" s="63">
        <f t="shared" si="13"/>
        <v>6.8116995307877272E-4</v>
      </c>
      <c r="K19" s="184">
        <f t="shared" si="10"/>
        <v>0.68116995307877271</v>
      </c>
      <c r="L19" s="136">
        <f t="shared" si="11"/>
        <v>1</v>
      </c>
      <c r="M19" s="55">
        <f t="shared" si="2"/>
        <v>4.0048905875444047</v>
      </c>
      <c r="N19" s="55">
        <f t="shared" si="14"/>
        <v>1.1252155371671681E-2</v>
      </c>
      <c r="O19" s="55">
        <f t="shared" si="12"/>
        <v>154.92957746478874</v>
      </c>
      <c r="P19" s="55">
        <f t="shared" si="3"/>
        <v>-13.926634615384614</v>
      </c>
      <c r="Q19" s="55">
        <f t="shared" si="4"/>
        <v>-6.1896153846153847</v>
      </c>
      <c r="X19" s="59"/>
      <c r="Y19" s="59"/>
    </row>
    <row r="20" spans="1:25" x14ac:dyDescent="0.2">
      <c r="A20" s="223">
        <v>0</v>
      </c>
      <c r="B20" s="222">
        <f t="shared" si="0"/>
        <v>54.682692307692307</v>
      </c>
      <c r="C20" s="56">
        <f t="shared" si="5"/>
        <v>0</v>
      </c>
      <c r="D20" s="203">
        <f>B2</f>
        <v>154.92957746478874</v>
      </c>
      <c r="E20" s="54">
        <f t="shared" si="6"/>
        <v>2.8332470645925847</v>
      </c>
      <c r="F20" s="56">
        <f t="shared" si="7"/>
        <v>0.182</v>
      </c>
      <c r="G20" s="54">
        <f t="shared" si="8"/>
        <v>2.8332470645925847</v>
      </c>
      <c r="H20" s="56">
        <f t="shared" si="1"/>
        <v>2.8332470645925847</v>
      </c>
      <c r="I20" s="57">
        <f t="shared" si="9"/>
        <v>7.1863047799555871E-5</v>
      </c>
      <c r="J20" s="63">
        <f t="shared" si="13"/>
        <v>7.5303300087832862E-4</v>
      </c>
      <c r="K20" s="184">
        <f t="shared" si="10"/>
        <v>0.75303300087832858</v>
      </c>
      <c r="L20" s="136">
        <f t="shared" si="11"/>
        <v>1</v>
      </c>
      <c r="M20" s="55">
        <f t="shared" si="2"/>
        <v>4.0474958065608355</v>
      </c>
      <c r="N20" s="55">
        <f t="shared" si="14"/>
        <v>1.1133711630917106E-2</v>
      </c>
      <c r="O20" s="55">
        <f t="shared" si="12"/>
        <v>154.92957746478874</v>
      </c>
      <c r="P20" s="55">
        <f t="shared" si="3"/>
        <v>-13.780038461538462</v>
      </c>
      <c r="Q20" s="55">
        <f t="shared" si="4"/>
        <v>-6.1244615384615386</v>
      </c>
      <c r="X20" s="58" t="s">
        <v>135</v>
      </c>
      <c r="Y20" s="59">
        <v>0.2</v>
      </c>
    </row>
    <row r="21" spans="1:25" x14ac:dyDescent="0.2">
      <c r="A21" s="223">
        <v>0</v>
      </c>
      <c r="B21" s="222">
        <f t="shared" si="0"/>
        <v>54.10096153846154</v>
      </c>
      <c r="C21" s="56">
        <f t="shared" si="5"/>
        <v>0</v>
      </c>
      <c r="D21" s="203">
        <f>B2</f>
        <v>154.92957746478874</v>
      </c>
      <c r="E21" s="54">
        <f t="shared" si="6"/>
        <v>2.8637120867925048</v>
      </c>
      <c r="F21" s="56">
        <f t="shared" si="7"/>
        <v>0.182</v>
      </c>
      <c r="G21" s="54">
        <f t="shared" si="8"/>
        <v>2.8637120867925048</v>
      </c>
      <c r="H21" s="56">
        <f t="shared" si="1"/>
        <v>2.8637120867925048</v>
      </c>
      <c r="I21" s="57">
        <f t="shared" si="9"/>
        <v>7.1098547291049952E-5</v>
      </c>
      <c r="J21" s="63">
        <f t="shared" si="13"/>
        <v>8.2413154816937857E-4</v>
      </c>
      <c r="K21" s="184">
        <f t="shared" si="10"/>
        <v>0.82413154816937861</v>
      </c>
      <c r="L21" s="136">
        <f t="shared" si="11"/>
        <v>1</v>
      </c>
      <c r="M21" s="55">
        <f t="shared" si="2"/>
        <v>4.0910172668464355</v>
      </c>
      <c r="N21" s="55">
        <f t="shared" si="14"/>
        <v>1.1015267890162668E-2</v>
      </c>
      <c r="O21" s="55">
        <f t="shared" si="12"/>
        <v>154.92957746478874</v>
      </c>
      <c r="P21" s="55">
        <f t="shared" si="3"/>
        <v>-13.633442307692308</v>
      </c>
      <c r="Q21" s="55">
        <f t="shared" si="4"/>
        <v>-6.0593076923076925</v>
      </c>
      <c r="X21" s="58" t="s">
        <v>136</v>
      </c>
      <c r="Y21" s="59">
        <v>0.2</v>
      </c>
    </row>
    <row r="22" spans="1:25" x14ac:dyDescent="0.2">
      <c r="A22" s="223">
        <v>0</v>
      </c>
      <c r="B22" s="222">
        <f t="shared" si="0"/>
        <v>53.519230769230766</v>
      </c>
      <c r="C22" s="56">
        <f t="shared" si="5"/>
        <v>0</v>
      </c>
      <c r="D22" s="203">
        <f>B2</f>
        <v>154.92957746478874</v>
      </c>
      <c r="E22" s="54">
        <f t="shared" si="6"/>
        <v>2.8948393920837279</v>
      </c>
      <c r="F22" s="56">
        <f t="shared" si="7"/>
        <v>0.182</v>
      </c>
      <c r="G22" s="54">
        <f t="shared" si="8"/>
        <v>2.8948393920837279</v>
      </c>
      <c r="H22" s="56">
        <f t="shared" si="1"/>
        <v>2.8948393920837279</v>
      </c>
      <c r="I22" s="57">
        <f t="shared" si="9"/>
        <v>7.0334046782544901E-5</v>
      </c>
      <c r="J22" s="63">
        <f t="shared" si="13"/>
        <v>8.9446559495192344E-4</v>
      </c>
      <c r="K22" s="184">
        <f t="shared" si="10"/>
        <v>0.89446559495192346</v>
      </c>
      <c r="L22" s="136">
        <f t="shared" si="11"/>
        <v>1</v>
      </c>
      <c r="M22" s="55">
        <f t="shared" si="2"/>
        <v>4.1354848458338971</v>
      </c>
      <c r="N22" s="55">
        <f t="shared" si="14"/>
        <v>1.0896824149408365E-2</v>
      </c>
      <c r="O22" s="55">
        <f t="shared" si="12"/>
        <v>154.92957746478874</v>
      </c>
      <c r="P22" s="55">
        <f t="shared" si="3"/>
        <v>-13.486846153846153</v>
      </c>
      <c r="Q22" s="55">
        <f t="shared" si="4"/>
        <v>-5.9941538461538464</v>
      </c>
      <c r="X22" s="58" t="s">
        <v>132</v>
      </c>
      <c r="Y22" s="59">
        <f>SQRT(Y21^2+Y20^2)</f>
        <v>0.28284271247461906</v>
      </c>
    </row>
    <row r="23" spans="1:25" x14ac:dyDescent="0.2">
      <c r="A23" s="223">
        <v>0</v>
      </c>
      <c r="B23" s="222">
        <f t="shared" si="0"/>
        <v>52.9375</v>
      </c>
      <c r="C23" s="56">
        <f t="shared" si="5"/>
        <v>0</v>
      </c>
      <c r="D23" s="203">
        <f>B2</f>
        <v>154.92957746478874</v>
      </c>
      <c r="E23" s="54">
        <f t="shared" si="6"/>
        <v>2.9266508139747578</v>
      </c>
      <c r="F23" s="56">
        <f t="shared" si="7"/>
        <v>0.182</v>
      </c>
      <c r="G23" s="54">
        <f t="shared" si="8"/>
        <v>2.9266508139747578</v>
      </c>
      <c r="H23" s="56">
        <f t="shared" si="1"/>
        <v>2.9266508139747578</v>
      </c>
      <c r="I23" s="57">
        <f t="shared" si="9"/>
        <v>6.9569546274038128E-5</v>
      </c>
      <c r="J23" s="63">
        <f t="shared" si="13"/>
        <v>9.6403514122596161E-4</v>
      </c>
      <c r="K23" s="184">
        <f t="shared" si="10"/>
        <v>0.96403514122596157</v>
      </c>
      <c r="L23" s="136">
        <f t="shared" si="11"/>
        <v>1</v>
      </c>
      <c r="M23" s="55">
        <f t="shared" si="2"/>
        <v>4.1809297342496539</v>
      </c>
      <c r="N23" s="55">
        <f t="shared" si="14"/>
        <v>1.0778380408653795E-2</v>
      </c>
      <c r="O23" s="55">
        <f t="shared" si="12"/>
        <v>154.92957746478874</v>
      </c>
      <c r="P23" s="55">
        <f t="shared" si="3"/>
        <v>-13.340249999999999</v>
      </c>
      <c r="Q23" s="55">
        <f t="shared" si="4"/>
        <v>-5.9290000000000003</v>
      </c>
      <c r="X23" s="59"/>
      <c r="Y23" s="59"/>
    </row>
    <row r="24" spans="1:25" x14ac:dyDescent="0.2">
      <c r="A24" s="223">
        <v>0</v>
      </c>
      <c r="B24" s="222">
        <f t="shared" si="0"/>
        <v>52.355769230769234</v>
      </c>
      <c r="C24" s="56">
        <f t="shared" si="5"/>
        <v>0</v>
      </c>
      <c r="D24" s="203">
        <f>B2</f>
        <v>154.92957746478874</v>
      </c>
      <c r="E24" s="54">
        <f t="shared" si="6"/>
        <v>2.9591691563522549</v>
      </c>
      <c r="F24" s="56">
        <f t="shared" si="7"/>
        <v>0.182</v>
      </c>
      <c r="G24" s="54">
        <f t="shared" si="8"/>
        <v>2.9591691563522549</v>
      </c>
      <c r="H24" s="56">
        <f t="shared" si="1"/>
        <v>2.9591691563522549</v>
      </c>
      <c r="I24" s="57">
        <f t="shared" si="9"/>
        <v>6.8805045765532222E-5</v>
      </c>
      <c r="J24" s="63">
        <f t="shared" si="13"/>
        <v>1.0328401869914938E-3</v>
      </c>
      <c r="K24" s="184">
        <f t="shared" si="10"/>
        <v>1.0328401869914938</v>
      </c>
      <c r="L24" s="136">
        <f t="shared" si="11"/>
        <v>1</v>
      </c>
      <c r="M24" s="55">
        <f t="shared" si="2"/>
        <v>4.2273845090746498</v>
      </c>
      <c r="N24" s="55">
        <f t="shared" si="14"/>
        <v>1.0659936667899357E-2</v>
      </c>
      <c r="O24" s="55">
        <f t="shared" si="12"/>
        <v>154.92957746478874</v>
      </c>
      <c r="P24" s="55">
        <f t="shared" si="3"/>
        <v>-13.193653846153847</v>
      </c>
      <c r="Q24" s="55">
        <f t="shared" si="4"/>
        <v>-5.8638461538461542</v>
      </c>
      <c r="X24" s="58" t="s">
        <v>137</v>
      </c>
      <c r="Y24" s="59">
        <f>SQRT(Y18^2+Y22^2)</f>
        <v>0.50990195135927852</v>
      </c>
    </row>
    <row r="25" spans="1:25" x14ac:dyDescent="0.2">
      <c r="A25" s="223">
        <v>0</v>
      </c>
      <c r="B25" s="222">
        <f t="shared" si="0"/>
        <v>51.774038461538467</v>
      </c>
      <c r="C25" s="56">
        <f t="shared" si="5"/>
        <v>0</v>
      </c>
      <c r="D25" s="203">
        <f>B2</f>
        <v>154.92957746478874</v>
      </c>
      <c r="E25" s="54">
        <f t="shared" si="6"/>
        <v>2.9924182479966621</v>
      </c>
      <c r="F25" s="56">
        <f t="shared" si="7"/>
        <v>0.182</v>
      </c>
      <c r="G25" s="54">
        <f t="shared" si="8"/>
        <v>2.9924182479966621</v>
      </c>
      <c r="H25" s="56">
        <f t="shared" si="1"/>
        <v>2.9924182479966621</v>
      </c>
      <c r="I25" s="57">
        <f t="shared" si="9"/>
        <v>6.8040545257026303E-5</v>
      </c>
      <c r="J25" s="63">
        <f t="shared" si="13"/>
        <v>1.1008807322485201E-3</v>
      </c>
      <c r="K25" s="184">
        <f t="shared" si="10"/>
        <v>1.1008807322485201</v>
      </c>
      <c r="L25" s="136">
        <f t="shared" si="11"/>
        <v>1</v>
      </c>
      <c r="M25" s="55">
        <f t="shared" si="2"/>
        <v>4.2748832114238029</v>
      </c>
      <c r="N25" s="55">
        <f t="shared" si="14"/>
        <v>1.0541492927144921E-2</v>
      </c>
      <c r="O25" s="55">
        <f t="shared" si="12"/>
        <v>154.92957746478874</v>
      </c>
      <c r="P25" s="55">
        <f t="shared" si="3"/>
        <v>-13.047057692307694</v>
      </c>
      <c r="Q25" s="55">
        <f t="shared" si="4"/>
        <v>-5.798692307692308</v>
      </c>
    </row>
    <row r="26" spans="1:25" x14ac:dyDescent="0.2">
      <c r="A26" s="223">
        <v>0</v>
      </c>
      <c r="B26" s="222">
        <f t="shared" si="0"/>
        <v>51.192307692307693</v>
      </c>
      <c r="C26" s="56">
        <f t="shared" si="5"/>
        <v>0</v>
      </c>
      <c r="D26" s="203">
        <f>B2</f>
        <v>154.92957746478874</v>
      </c>
      <c r="E26" s="54">
        <f t="shared" si="6"/>
        <v>3.0264230008148063</v>
      </c>
      <c r="F26" s="56">
        <f t="shared" si="7"/>
        <v>0.182</v>
      </c>
      <c r="G26" s="54">
        <f t="shared" si="8"/>
        <v>3.0264230008148063</v>
      </c>
      <c r="H26" s="56">
        <f t="shared" si="1"/>
        <v>3.0264230008148063</v>
      </c>
      <c r="I26" s="57">
        <f t="shared" si="9"/>
        <v>6.7276044748521211E-5</v>
      </c>
      <c r="J26" s="63">
        <f t="shared" si="13"/>
        <v>1.1681567769970414E-3</v>
      </c>
      <c r="K26" s="184">
        <f t="shared" si="10"/>
        <v>1.1681567769970413</v>
      </c>
      <c r="L26" s="136">
        <f t="shared" si="11"/>
        <v>1</v>
      </c>
      <c r="M26" s="55">
        <f t="shared" si="2"/>
        <v>4.3234614297354383</v>
      </c>
      <c r="N26" s="55">
        <f t="shared" si="14"/>
        <v>1.0423049186390611E-2</v>
      </c>
      <c r="O26" s="55">
        <f t="shared" si="12"/>
        <v>154.92957746478874</v>
      </c>
      <c r="P26" s="55">
        <f t="shared" si="3"/>
        <v>-12.900461538461538</v>
      </c>
      <c r="Q26" s="55">
        <f t="shared" si="4"/>
        <v>-5.7335384615384619</v>
      </c>
    </row>
    <row r="27" spans="1:25" x14ac:dyDescent="0.2">
      <c r="A27" s="223">
        <v>0</v>
      </c>
      <c r="B27" s="222">
        <f t="shared" si="0"/>
        <v>50.610576923076927</v>
      </c>
      <c r="C27" s="56">
        <f t="shared" si="5"/>
        <v>0</v>
      </c>
      <c r="D27" s="203">
        <f>B2</f>
        <v>154.92957746478874</v>
      </c>
      <c r="E27" s="54">
        <f t="shared" si="6"/>
        <v>3.0612094720885392</v>
      </c>
      <c r="F27" s="56">
        <f t="shared" si="7"/>
        <v>0.182</v>
      </c>
      <c r="G27" s="54">
        <f t="shared" si="8"/>
        <v>3.0612094720885392</v>
      </c>
      <c r="H27" s="56">
        <f t="shared" si="1"/>
        <v>3.0612094720885392</v>
      </c>
      <c r="I27" s="57">
        <f t="shared" si="9"/>
        <v>6.6511544240014479E-5</v>
      </c>
      <c r="J27" s="63">
        <f t="shared" si="13"/>
        <v>1.2346683212370558E-3</v>
      </c>
      <c r="K27" s="184">
        <f t="shared" si="10"/>
        <v>1.2346683212370557</v>
      </c>
      <c r="L27" s="136">
        <f t="shared" si="11"/>
        <v>1</v>
      </c>
      <c r="M27" s="55">
        <f t="shared" si="2"/>
        <v>4.3731563886979128</v>
      </c>
      <c r="N27" s="55">
        <f t="shared" si="14"/>
        <v>1.0304605445636045E-2</v>
      </c>
      <c r="O27" s="55">
        <f t="shared" si="12"/>
        <v>154.92957746478874</v>
      </c>
      <c r="P27" s="55">
        <f t="shared" si="3"/>
        <v>-12.753865384615386</v>
      </c>
      <c r="Q27" s="55">
        <f t="shared" si="4"/>
        <v>-5.6683846153846158</v>
      </c>
    </row>
    <row r="28" spans="1:25" x14ac:dyDescent="0.2">
      <c r="A28" s="223">
        <v>0</v>
      </c>
      <c r="B28" s="222">
        <f t="shared" si="0"/>
        <v>50.028846153846153</v>
      </c>
      <c r="C28" s="56">
        <f t="shared" si="5"/>
        <v>0</v>
      </c>
      <c r="D28" s="203">
        <f>B2</f>
        <v>154.92957746478874</v>
      </c>
      <c r="E28" s="54">
        <f t="shared" si="6"/>
        <v>3.0968049310663135</v>
      </c>
      <c r="F28" s="56">
        <f t="shared" si="7"/>
        <v>0.182</v>
      </c>
      <c r="G28" s="54">
        <f t="shared" si="8"/>
        <v>3.0968049310663135</v>
      </c>
      <c r="H28" s="56">
        <f t="shared" si="1"/>
        <v>3.0968049310663135</v>
      </c>
      <c r="I28" s="57">
        <f t="shared" si="9"/>
        <v>6.5747043731509359E-5</v>
      </c>
      <c r="J28" s="63">
        <f t="shared" si="13"/>
        <v>1.3004153649685652E-3</v>
      </c>
      <c r="K28" s="184">
        <f t="shared" si="10"/>
        <v>1.3004153649685652</v>
      </c>
      <c r="L28" s="136">
        <f t="shared" si="11"/>
        <v>1</v>
      </c>
      <c r="M28" s="55">
        <f t="shared" si="2"/>
        <v>4.4240070443804482</v>
      </c>
      <c r="N28" s="55">
        <f t="shared" si="14"/>
        <v>1.0186161704881732E-2</v>
      </c>
      <c r="O28" s="55">
        <f t="shared" si="12"/>
        <v>154.92957746478874</v>
      </c>
      <c r="P28" s="55">
        <f t="shared" si="3"/>
        <v>-12.60726923076923</v>
      </c>
      <c r="Q28" s="55">
        <f t="shared" si="4"/>
        <v>-5.6032307692307697</v>
      </c>
    </row>
    <row r="29" spans="1:25" x14ac:dyDescent="0.2">
      <c r="A29" s="223">
        <v>0</v>
      </c>
      <c r="B29" s="222">
        <f t="shared" si="0"/>
        <v>49.447115384615387</v>
      </c>
      <c r="C29" s="56">
        <f t="shared" si="5"/>
        <v>0</v>
      </c>
      <c r="D29" s="203">
        <f>B2</f>
        <v>154.92957746478874</v>
      </c>
      <c r="E29" s="54">
        <f t="shared" si="6"/>
        <v>3.1332379302553286</v>
      </c>
      <c r="F29" s="56">
        <f t="shared" si="7"/>
        <v>0.182</v>
      </c>
      <c r="G29" s="54">
        <f t="shared" si="8"/>
        <v>3.1332379302553286</v>
      </c>
      <c r="H29" s="56">
        <f t="shared" si="1"/>
        <v>3.1332379302553286</v>
      </c>
      <c r="I29" s="57">
        <f t="shared" si="9"/>
        <v>6.4982543223002654E-5</v>
      </c>
      <c r="J29" s="63">
        <f t="shared" si="13"/>
        <v>1.3653979081915679E-3</v>
      </c>
      <c r="K29" s="184">
        <f t="shared" si="10"/>
        <v>1.3653979081915679</v>
      </c>
      <c r="L29" s="136">
        <f t="shared" si="11"/>
        <v>1</v>
      </c>
      <c r="M29" s="55">
        <f t="shared" si="2"/>
        <v>4.4760541860790415</v>
      </c>
      <c r="N29" s="55">
        <f t="shared" si="14"/>
        <v>1.0067717964127171E-2</v>
      </c>
      <c r="O29" s="55">
        <f t="shared" si="12"/>
        <v>154.92957746478874</v>
      </c>
      <c r="P29" s="55">
        <f t="shared" si="3"/>
        <v>-12.460673076923078</v>
      </c>
      <c r="Q29" s="55">
        <f t="shared" si="4"/>
        <v>-5.5380769230769236</v>
      </c>
    </row>
    <row r="30" spans="1:25" x14ac:dyDescent="0.2">
      <c r="A30" s="223">
        <v>0</v>
      </c>
      <c r="B30" s="222">
        <f t="shared" si="0"/>
        <v>48.865384615384613</v>
      </c>
      <c r="C30" s="56">
        <f t="shared" si="5"/>
        <v>0</v>
      </c>
      <c r="D30" s="203">
        <f>B2</f>
        <v>154.92957746478874</v>
      </c>
      <c r="E30" s="54">
        <f t="shared" si="6"/>
        <v>3.1705383818059878</v>
      </c>
      <c r="F30" s="56">
        <f t="shared" si="7"/>
        <v>0.182</v>
      </c>
      <c r="G30" s="54">
        <f t="shared" si="8"/>
        <v>3.1705383818059878</v>
      </c>
      <c r="H30" s="56">
        <f t="shared" si="1"/>
        <v>3.1705383818059878</v>
      </c>
      <c r="I30" s="57">
        <f t="shared" si="9"/>
        <v>6.4218042714497521E-5</v>
      </c>
      <c r="J30" s="63">
        <f t="shared" si="13"/>
        <v>1.4296159509060654E-3</v>
      </c>
      <c r="K30" s="184">
        <f t="shared" si="10"/>
        <v>1.4296159509060655</v>
      </c>
      <c r="L30" s="136">
        <f t="shared" si="11"/>
        <v>1</v>
      </c>
      <c r="M30" s="55">
        <f t="shared" si="2"/>
        <v>4.5293405454371261</v>
      </c>
      <c r="N30" s="55">
        <f t="shared" si="14"/>
        <v>9.9492742233728559E-3</v>
      </c>
      <c r="O30" s="55">
        <f t="shared" si="12"/>
        <v>154.92957746478874</v>
      </c>
      <c r="P30" s="55">
        <f t="shared" si="3"/>
        <v>-12.314076923076923</v>
      </c>
      <c r="Q30" s="55">
        <f t="shared" si="4"/>
        <v>-5.4729230769230766</v>
      </c>
    </row>
    <row r="31" spans="1:25" x14ac:dyDescent="0.2">
      <c r="A31" s="223">
        <v>0</v>
      </c>
      <c r="B31" s="222">
        <f t="shared" si="0"/>
        <v>48.283653846153847</v>
      </c>
      <c r="C31" s="56">
        <f t="shared" si="5"/>
        <v>0</v>
      </c>
      <c r="D31" s="203">
        <f>B2</f>
        <v>154.92957746478874</v>
      </c>
      <c r="E31" s="54">
        <f t="shared" si="6"/>
        <v>3.208737639418108</v>
      </c>
      <c r="F31" s="56">
        <f t="shared" si="7"/>
        <v>0.182</v>
      </c>
      <c r="G31" s="54">
        <f t="shared" si="8"/>
        <v>3.208737639418108</v>
      </c>
      <c r="H31" s="56">
        <f t="shared" si="1"/>
        <v>3.208737639418108</v>
      </c>
      <c r="I31" s="57">
        <f t="shared" si="9"/>
        <v>6.3453542205990816E-5</v>
      </c>
      <c r="J31" s="63">
        <f t="shared" si="13"/>
        <v>1.4930694931120563E-3</v>
      </c>
      <c r="K31" s="184">
        <f t="shared" si="10"/>
        <v>1.4930694931120563</v>
      </c>
      <c r="L31" s="136">
        <f t="shared" si="11"/>
        <v>1</v>
      </c>
      <c r="M31" s="55">
        <f t="shared" si="2"/>
        <v>4.5839109134544396</v>
      </c>
      <c r="N31" s="55">
        <f t="shared" si="14"/>
        <v>9.8308304826182965E-3</v>
      </c>
      <c r="O31" s="55">
        <f t="shared" si="12"/>
        <v>154.92957746478874</v>
      </c>
      <c r="P31" s="55">
        <f t="shared" si="3"/>
        <v>-12.167480769230769</v>
      </c>
      <c r="Q31" s="55">
        <f t="shared" si="4"/>
        <v>-5.4077692307692313</v>
      </c>
    </row>
    <row r="32" spans="1:25" x14ac:dyDescent="0.2">
      <c r="A32" s="223">
        <v>0</v>
      </c>
      <c r="B32" s="222">
        <f t="shared" si="0"/>
        <v>47.701923076923073</v>
      </c>
      <c r="C32" s="56">
        <f t="shared" si="5"/>
        <v>0</v>
      </c>
      <c r="D32" s="203">
        <f>B2</f>
        <v>154.92957746478874</v>
      </c>
      <c r="E32" s="54">
        <f t="shared" si="6"/>
        <v>3.2478685862402803</v>
      </c>
      <c r="F32" s="56">
        <f t="shared" si="7"/>
        <v>0.182</v>
      </c>
      <c r="G32" s="54">
        <f t="shared" si="8"/>
        <v>3.2478685862402803</v>
      </c>
      <c r="H32" s="56">
        <f t="shared" si="1"/>
        <v>3.2478685862402803</v>
      </c>
      <c r="I32" s="57">
        <f t="shared" si="9"/>
        <v>6.268904169748567E-5</v>
      </c>
      <c r="J32" s="63">
        <f t="shared" si="13"/>
        <v>1.5557585348095419E-3</v>
      </c>
      <c r="K32" s="184">
        <f t="shared" si="10"/>
        <v>1.555758534809542</v>
      </c>
      <c r="L32" s="136">
        <f t="shared" si="11"/>
        <v>1</v>
      </c>
      <c r="M32" s="55">
        <f t="shared" si="2"/>
        <v>4.6398122660575432</v>
      </c>
      <c r="N32" s="55">
        <f t="shared" si="14"/>
        <v>9.7123867418639764E-3</v>
      </c>
      <c r="O32" s="55">
        <f t="shared" si="12"/>
        <v>154.92957746478874</v>
      </c>
      <c r="P32" s="55">
        <f t="shared" si="3"/>
        <v>-12.020884615384615</v>
      </c>
      <c r="Q32" s="55">
        <f t="shared" si="4"/>
        <v>-5.3426153846153843</v>
      </c>
    </row>
    <row r="33" spans="1:17" x14ac:dyDescent="0.2">
      <c r="A33" s="223">
        <v>0</v>
      </c>
      <c r="B33" s="222">
        <f t="shared" si="0"/>
        <v>47.120192307692307</v>
      </c>
      <c r="C33" s="56">
        <f t="shared" si="5"/>
        <v>0</v>
      </c>
      <c r="D33" s="203">
        <f>B2</f>
        <v>154.92957746478874</v>
      </c>
      <c r="E33" s="54">
        <f t="shared" si="6"/>
        <v>3.2879657292802835</v>
      </c>
      <c r="F33" s="56">
        <f t="shared" si="7"/>
        <v>0.182</v>
      </c>
      <c r="G33" s="54">
        <f t="shared" si="8"/>
        <v>3.2879657292802835</v>
      </c>
      <c r="H33" s="56">
        <f t="shared" si="1"/>
        <v>3.2879657292802835</v>
      </c>
      <c r="I33" s="57">
        <f t="shared" si="9"/>
        <v>6.1924541188978992E-5</v>
      </c>
      <c r="J33" s="63">
        <f t="shared" si="13"/>
        <v>1.6176830759985208E-3</v>
      </c>
      <c r="K33" s="184">
        <f t="shared" si="10"/>
        <v>1.6176830759985208</v>
      </c>
      <c r="L33" s="136">
        <f t="shared" si="11"/>
        <v>1</v>
      </c>
      <c r="M33" s="55">
        <f t="shared" si="2"/>
        <v>4.6970938989718336</v>
      </c>
      <c r="N33" s="55">
        <f t="shared" si="14"/>
        <v>9.5939430011094222E-3</v>
      </c>
      <c r="O33" s="55">
        <f t="shared" si="12"/>
        <v>154.92957746478874</v>
      </c>
      <c r="P33" s="55">
        <f t="shared" si="3"/>
        <v>-11.874288461538461</v>
      </c>
      <c r="Q33" s="55">
        <f t="shared" si="4"/>
        <v>-5.2774615384615382</v>
      </c>
    </row>
    <row r="34" spans="1:17" x14ac:dyDescent="0.2">
      <c r="A34" s="223">
        <v>0</v>
      </c>
      <c r="B34" s="222">
        <f t="shared" si="0"/>
        <v>46.538461538461533</v>
      </c>
      <c r="C34" s="56">
        <f t="shared" si="5"/>
        <v>0</v>
      </c>
      <c r="D34" s="203">
        <f>B2</f>
        <v>154.92957746478874</v>
      </c>
      <c r="E34" s="54">
        <f t="shared" si="6"/>
        <v>3.3290653008962874</v>
      </c>
      <c r="F34" s="56">
        <f t="shared" si="7"/>
        <v>0.182</v>
      </c>
      <c r="G34" s="54">
        <f t="shared" si="8"/>
        <v>3.3290653008962874</v>
      </c>
      <c r="H34" s="56">
        <f t="shared" si="1"/>
        <v>3.3290653008962874</v>
      </c>
      <c r="I34" s="57">
        <f t="shared" si="9"/>
        <v>6.1160040680473818E-5</v>
      </c>
      <c r="J34" s="63">
        <f t="shared" si="13"/>
        <v>1.6788431166789945E-3</v>
      </c>
      <c r="K34" s="184">
        <f t="shared" si="10"/>
        <v>1.6788431166789946</v>
      </c>
      <c r="L34" s="136">
        <f t="shared" si="11"/>
        <v>1</v>
      </c>
      <c r="M34" s="55">
        <f t="shared" si="2"/>
        <v>4.7558075727089815</v>
      </c>
      <c r="N34" s="55">
        <f t="shared" si="14"/>
        <v>9.4754992603550987E-3</v>
      </c>
      <c r="O34" s="55">
        <f t="shared" si="12"/>
        <v>154.92957746478874</v>
      </c>
      <c r="P34" s="55">
        <f t="shared" si="3"/>
        <v>-11.727692307692307</v>
      </c>
      <c r="Q34" s="55">
        <f t="shared" si="4"/>
        <v>-5.2123076923076921</v>
      </c>
    </row>
    <row r="35" spans="1:17" x14ac:dyDescent="0.2">
      <c r="A35" s="223">
        <v>0</v>
      </c>
      <c r="B35" s="222">
        <f t="shared" si="0"/>
        <v>45.956730769230766</v>
      </c>
      <c r="C35" s="56">
        <f t="shared" si="5"/>
        <v>0</v>
      </c>
      <c r="D35" s="203">
        <f>B2</f>
        <v>154.92957746478874</v>
      </c>
      <c r="E35" s="54">
        <f t="shared" si="6"/>
        <v>3.3712053679962399</v>
      </c>
      <c r="F35" s="56">
        <f t="shared" si="7"/>
        <v>0.182</v>
      </c>
      <c r="G35" s="54">
        <f t="shared" si="8"/>
        <v>3.3712053679962399</v>
      </c>
      <c r="H35" s="56">
        <f t="shared" si="1"/>
        <v>3.3712053679962399</v>
      </c>
      <c r="I35" s="57">
        <f t="shared" si="9"/>
        <v>6.0395540171967167E-5</v>
      </c>
      <c r="J35" s="63">
        <f t="shared" si="13"/>
        <v>1.7392386568509618E-3</v>
      </c>
      <c r="K35" s="184">
        <f t="shared" si="10"/>
        <v>1.7392386568509619</v>
      </c>
      <c r="L35" s="136">
        <f t="shared" si="11"/>
        <v>1</v>
      </c>
      <c r="M35" s="55">
        <f t="shared" si="2"/>
        <v>4.8160076685660576</v>
      </c>
      <c r="N35" s="55">
        <f t="shared" si="14"/>
        <v>9.3570555196005462E-3</v>
      </c>
      <c r="O35" s="55">
        <f t="shared" si="12"/>
        <v>154.92957746478874</v>
      </c>
      <c r="P35" s="55">
        <f t="shared" si="3"/>
        <v>-11.581096153846154</v>
      </c>
      <c r="Q35" s="55">
        <f t="shared" si="4"/>
        <v>-5.147153846153846</v>
      </c>
    </row>
    <row r="36" spans="1:17" x14ac:dyDescent="0.2">
      <c r="A36" s="223">
        <v>0</v>
      </c>
      <c r="B36" s="222">
        <f t="shared" si="0"/>
        <v>45.375</v>
      </c>
      <c r="C36" s="56">
        <f t="shared" si="5"/>
        <v>0</v>
      </c>
      <c r="D36" s="203">
        <f>B2</f>
        <v>154.92957746478874</v>
      </c>
      <c r="E36" s="54">
        <f t="shared" si="6"/>
        <v>3.4144259496372174</v>
      </c>
      <c r="F36" s="56">
        <f t="shared" si="7"/>
        <v>0.182</v>
      </c>
      <c r="G36" s="54">
        <f t="shared" si="8"/>
        <v>3.4144259496372174</v>
      </c>
      <c r="H36" s="56">
        <f t="shared" si="1"/>
        <v>3.4144259496372174</v>
      </c>
      <c r="I36" s="57">
        <f t="shared" si="9"/>
        <v>5.9631039663461255E-5</v>
      </c>
      <c r="J36" s="63">
        <f t="shared" si="13"/>
        <v>1.798869696514423E-3</v>
      </c>
      <c r="K36" s="184">
        <f t="shared" si="10"/>
        <v>1.7988696965144231</v>
      </c>
      <c r="L36" s="136">
        <f t="shared" si="11"/>
        <v>1</v>
      </c>
      <c r="M36" s="55">
        <f t="shared" si="2"/>
        <v>4.8777513566245956</v>
      </c>
      <c r="N36" s="55">
        <f t="shared" si="14"/>
        <v>9.2386117788461099E-3</v>
      </c>
      <c r="O36" s="55">
        <f t="shared" si="12"/>
        <v>154.92957746478874</v>
      </c>
      <c r="P36" s="55">
        <f t="shared" si="3"/>
        <v>-11.4345</v>
      </c>
      <c r="Q36" s="55">
        <f t="shared" si="4"/>
        <v>-5.0819999999999999</v>
      </c>
    </row>
    <row r="37" spans="1:17" x14ac:dyDescent="0.2">
      <c r="A37" s="223">
        <v>0</v>
      </c>
      <c r="B37" s="222">
        <f t="shared" si="0"/>
        <v>44.793269230769234</v>
      </c>
      <c r="C37" s="56">
        <f t="shared" si="5"/>
        <v>0</v>
      </c>
      <c r="D37" s="203">
        <f>B2</f>
        <v>154.92957746478874</v>
      </c>
      <c r="E37" s="54">
        <f t="shared" si="6"/>
        <v>3.4587691437883499</v>
      </c>
      <c r="F37" s="56">
        <f t="shared" si="7"/>
        <v>0.182</v>
      </c>
      <c r="G37" s="54">
        <f t="shared" si="8"/>
        <v>3.4587691437883499</v>
      </c>
      <c r="H37" s="56">
        <f t="shared" si="1"/>
        <v>3.4587691437883499</v>
      </c>
      <c r="I37" s="57">
        <f t="shared" si="9"/>
        <v>5.8866539154955343E-5</v>
      </c>
      <c r="J37" s="63">
        <f t="shared" si="13"/>
        <v>1.8577362356693783E-3</v>
      </c>
      <c r="K37" s="184">
        <f t="shared" si="10"/>
        <v>1.8577362356693783</v>
      </c>
      <c r="L37" s="136">
        <f t="shared" si="11"/>
        <v>1</v>
      </c>
      <c r="M37" s="55">
        <f t="shared" si="2"/>
        <v>4.9410987768404997</v>
      </c>
      <c r="N37" s="55">
        <f t="shared" si="14"/>
        <v>9.1201680380916736E-3</v>
      </c>
      <c r="O37" s="55">
        <f t="shared" si="12"/>
        <v>154.92957746478874</v>
      </c>
      <c r="P37" s="55">
        <f t="shared" si="3"/>
        <v>-11.287903846153847</v>
      </c>
      <c r="Q37" s="55">
        <f t="shared" si="4"/>
        <v>-5.0168461538461546</v>
      </c>
    </row>
    <row r="38" spans="1:17" x14ac:dyDescent="0.2">
      <c r="A38" s="223">
        <v>0</v>
      </c>
      <c r="B38" s="222">
        <f t="shared" si="0"/>
        <v>44.211538461538467</v>
      </c>
      <c r="C38" s="56">
        <f t="shared" si="5"/>
        <v>0</v>
      </c>
      <c r="D38" s="203">
        <f>B2</f>
        <v>154.92957746478874</v>
      </c>
      <c r="E38" s="54">
        <f t="shared" si="6"/>
        <v>3.504279264101354</v>
      </c>
      <c r="F38" s="56">
        <f t="shared" si="7"/>
        <v>0.182</v>
      </c>
      <c r="G38" s="54">
        <f t="shared" si="8"/>
        <v>3.504279264101354</v>
      </c>
      <c r="H38" s="56">
        <f t="shared" si="1"/>
        <v>3.504279264101354</v>
      </c>
      <c r="I38" s="57">
        <f t="shared" si="9"/>
        <v>5.8102038646449438E-5</v>
      </c>
      <c r="J38" s="63">
        <f t="shared" si="13"/>
        <v>1.9158382743158279E-3</v>
      </c>
      <c r="K38" s="184">
        <f t="shared" si="10"/>
        <v>1.9158382743158278</v>
      </c>
      <c r="L38" s="136">
        <f t="shared" si="11"/>
        <v>1</v>
      </c>
      <c r="M38" s="55">
        <f t="shared" si="2"/>
        <v>5.0061132344305062</v>
      </c>
      <c r="N38" s="55">
        <f t="shared" si="14"/>
        <v>9.0017242973372356E-3</v>
      </c>
      <c r="O38" s="55">
        <f t="shared" si="12"/>
        <v>154.92957746478874</v>
      </c>
      <c r="P38" s="55">
        <f t="shared" si="3"/>
        <v>-11.141307692307693</v>
      </c>
      <c r="Q38" s="55">
        <f t="shared" si="4"/>
        <v>-4.9516923076923085</v>
      </c>
    </row>
    <row r="39" spans="1:17" x14ac:dyDescent="0.2">
      <c r="A39" s="223">
        <v>0</v>
      </c>
      <c r="B39" s="222">
        <f t="shared" si="0"/>
        <v>43.629807692307693</v>
      </c>
      <c r="C39" s="56">
        <f t="shared" si="5"/>
        <v>0</v>
      </c>
      <c r="D39" s="203">
        <f>B2</f>
        <v>154.92957746478874</v>
      </c>
      <c r="E39" s="54">
        <f t="shared" si="6"/>
        <v>3.5510029876227058</v>
      </c>
      <c r="F39" s="56">
        <f t="shared" si="7"/>
        <v>0.182</v>
      </c>
      <c r="G39" s="54">
        <f t="shared" si="8"/>
        <v>3.5510029876227058</v>
      </c>
      <c r="H39" s="56">
        <f t="shared" si="1"/>
        <v>3.5510029876227058</v>
      </c>
      <c r="I39" s="57">
        <f t="shared" si="9"/>
        <v>5.7337538137944217E-5</v>
      </c>
      <c r="J39" s="63">
        <f t="shared" si="13"/>
        <v>1.973175812453772E-3</v>
      </c>
      <c r="K39" s="184">
        <f t="shared" si="10"/>
        <v>1.9731758124537719</v>
      </c>
      <c r="L39" s="136">
        <f t="shared" si="11"/>
        <v>1</v>
      </c>
      <c r="M39" s="55">
        <f t="shared" si="2"/>
        <v>5.0728614108895798</v>
      </c>
      <c r="N39" s="55">
        <f t="shared" si="14"/>
        <v>8.8832805565829068E-3</v>
      </c>
      <c r="O39" s="55">
        <f t="shared" si="12"/>
        <v>154.92957746478874</v>
      </c>
      <c r="P39" s="55">
        <f t="shared" si="3"/>
        <v>-10.994711538461539</v>
      </c>
      <c r="Q39" s="55">
        <f t="shared" si="4"/>
        <v>-4.8865384615384615</v>
      </c>
    </row>
    <row r="40" spans="1:17" x14ac:dyDescent="0.2">
      <c r="A40" s="223">
        <v>0</v>
      </c>
      <c r="B40" s="222">
        <f t="shared" si="0"/>
        <v>43.048076923076927</v>
      </c>
      <c r="C40" s="56">
        <f t="shared" si="5"/>
        <v>0</v>
      </c>
      <c r="D40" s="203">
        <f>B2</f>
        <v>154.92957746478874</v>
      </c>
      <c r="E40" s="54">
        <f t="shared" si="6"/>
        <v>3.5989895144824722</v>
      </c>
      <c r="F40" s="56">
        <f t="shared" si="7"/>
        <v>0.182</v>
      </c>
      <c r="G40" s="54">
        <f t="shared" si="8"/>
        <v>3.5989895144824722</v>
      </c>
      <c r="H40" s="56">
        <f t="shared" si="1"/>
        <v>3.5989895144824722</v>
      </c>
      <c r="I40" s="57">
        <f t="shared" si="9"/>
        <v>5.65730376294376E-5</v>
      </c>
      <c r="J40" s="63">
        <f t="shared" si="13"/>
        <v>2.0297488500832096E-3</v>
      </c>
      <c r="K40" s="184">
        <f t="shared" si="10"/>
        <v>2.0297488500832097</v>
      </c>
      <c r="L40" s="136">
        <f t="shared" si="11"/>
        <v>1</v>
      </c>
      <c r="M40" s="55">
        <f t="shared" si="2"/>
        <v>5.1414135921178179</v>
      </c>
      <c r="N40" s="55">
        <f t="shared" si="14"/>
        <v>8.7648368158283613E-3</v>
      </c>
      <c r="O40" s="55">
        <f t="shared" si="12"/>
        <v>154.92957746478874</v>
      </c>
      <c r="P40" s="55">
        <f t="shared" si="3"/>
        <v>-10.848115384615385</v>
      </c>
      <c r="Q40" s="55">
        <f t="shared" si="4"/>
        <v>-4.8213846153846163</v>
      </c>
    </row>
    <row r="41" spans="1:17" x14ac:dyDescent="0.2">
      <c r="A41" s="223">
        <v>0</v>
      </c>
      <c r="B41" s="222">
        <f t="shared" si="0"/>
        <v>42.466346153846153</v>
      </c>
      <c r="C41" s="56">
        <f t="shared" si="5"/>
        <v>0</v>
      </c>
      <c r="D41" s="203">
        <f>B2</f>
        <v>154.92957746478874</v>
      </c>
      <c r="E41" s="54">
        <f t="shared" si="6"/>
        <v>3.6482907407082594</v>
      </c>
      <c r="F41" s="56">
        <f t="shared" si="7"/>
        <v>0.182</v>
      </c>
      <c r="G41" s="54">
        <f t="shared" si="8"/>
        <v>3.6482907407082594</v>
      </c>
      <c r="H41" s="56">
        <f t="shared" si="1"/>
        <v>3.6482907407082594</v>
      </c>
      <c r="I41" s="57">
        <f t="shared" si="9"/>
        <v>5.5808537120932372E-5</v>
      </c>
      <c r="J41" s="63">
        <f t="shared" si="13"/>
        <v>2.085557387204142E-3</v>
      </c>
      <c r="K41" s="184">
        <f t="shared" si="10"/>
        <v>2.0855573872041422</v>
      </c>
      <c r="L41" s="136">
        <f t="shared" si="11"/>
        <v>1</v>
      </c>
      <c r="M41" s="55">
        <f t="shared" si="2"/>
        <v>5.2118439152975142</v>
      </c>
      <c r="N41" s="55">
        <f t="shared" si="14"/>
        <v>8.6463930750740291E-3</v>
      </c>
      <c r="O41" s="55">
        <f t="shared" si="12"/>
        <v>154.92957746478874</v>
      </c>
      <c r="P41" s="55">
        <f t="shared" si="3"/>
        <v>-10.701519230769231</v>
      </c>
      <c r="Q41" s="55">
        <f t="shared" si="4"/>
        <v>-4.7562307692307693</v>
      </c>
    </row>
    <row r="42" spans="1:17" x14ac:dyDescent="0.2">
      <c r="A42" s="223">
        <v>0</v>
      </c>
      <c r="B42" s="222">
        <f t="shared" ref="B42:B73" si="15">VINMAX*(1-((ROW()-10)/104))</f>
        <v>41.884615384615387</v>
      </c>
      <c r="C42" s="56">
        <f t="shared" si="5"/>
        <v>0</v>
      </c>
      <c r="D42" s="203">
        <f>B2</f>
        <v>154.92957746478874</v>
      </c>
      <c r="E42" s="54">
        <f t="shared" si="6"/>
        <v>3.6989614454403186</v>
      </c>
      <c r="F42" s="56">
        <f t="shared" ref="F42:F73" si="16">I_Cout_ss+C42</f>
        <v>0.182</v>
      </c>
      <c r="G42" s="54">
        <f t="shared" si="8"/>
        <v>3.6989614454403186</v>
      </c>
      <c r="H42" s="56">
        <f t="shared" ref="H42:H73" si="17">G42-C42</f>
        <v>3.6989614454403186</v>
      </c>
      <c r="I42" s="57">
        <f t="shared" ref="I42:I73" si="18">(COUTMAX/1000000)*(B41-B42)/H42</f>
        <v>5.5044036612425775E-5</v>
      </c>
      <c r="J42" s="63">
        <f t="shared" si="13"/>
        <v>2.140601423816568E-3</v>
      </c>
      <c r="K42" s="184">
        <f t="shared" si="10"/>
        <v>2.1406014238165678</v>
      </c>
      <c r="L42" s="136">
        <f t="shared" si="11"/>
        <v>1</v>
      </c>
      <c r="M42" s="55">
        <f t="shared" ref="M42:M73" si="19">1/COUTMAX*(E42/2-C42)*1000</f>
        <v>5.2842306363433122</v>
      </c>
      <c r="N42" s="55">
        <f t="shared" si="14"/>
        <v>8.527949334319487E-3</v>
      </c>
      <c r="O42" s="55">
        <f t="shared" si="12"/>
        <v>154.92957746478874</v>
      </c>
      <c r="P42" s="55">
        <f t="shared" ref="P42:P73" si="20">(A42-B42)*(I_Cout_ss*$Q$2+C42)</f>
        <v>-10.554923076923078</v>
      </c>
      <c r="Q42" s="55">
        <f t="shared" ref="Q42:Q73" si="21">(A42-B42)*(I_Cout_ss*$R$2+C42)</f>
        <v>-4.6910769230769231</v>
      </c>
    </row>
    <row r="43" spans="1:17" x14ac:dyDescent="0.2">
      <c r="A43" s="223">
        <v>0</v>
      </c>
      <c r="B43" s="222">
        <f t="shared" si="15"/>
        <v>41.302884615384613</v>
      </c>
      <c r="C43" s="56">
        <f t="shared" si="5"/>
        <v>0</v>
      </c>
      <c r="D43" s="203">
        <f>B2</f>
        <v>154.92957746478874</v>
      </c>
      <c r="E43" s="54">
        <f t="shared" si="6"/>
        <v>3.7510594939676474</v>
      </c>
      <c r="F43" s="56">
        <f t="shared" si="16"/>
        <v>0.182</v>
      </c>
      <c r="G43" s="54">
        <f t="shared" si="8"/>
        <v>3.7510594939676474</v>
      </c>
      <c r="H43" s="56">
        <f t="shared" si="17"/>
        <v>3.7510594939676474</v>
      </c>
      <c r="I43" s="57">
        <f t="shared" si="18"/>
        <v>5.427953610392052E-5</v>
      </c>
      <c r="J43" s="63">
        <f t="shared" si="13"/>
        <v>2.1948809599204883E-3</v>
      </c>
      <c r="K43" s="184">
        <f t="shared" si="10"/>
        <v>2.1948809599204884</v>
      </c>
      <c r="L43" s="136">
        <f t="shared" si="11"/>
        <v>1</v>
      </c>
      <c r="M43" s="55">
        <f t="shared" si="19"/>
        <v>5.3586564199537818</v>
      </c>
      <c r="N43" s="55">
        <f t="shared" si="14"/>
        <v>8.4095055935651513E-3</v>
      </c>
      <c r="O43" s="55">
        <f t="shared" si="12"/>
        <v>154.92957746478874</v>
      </c>
      <c r="P43" s="55">
        <f t="shared" si="20"/>
        <v>-10.408326923076922</v>
      </c>
      <c r="Q43" s="55">
        <f t="shared" si="21"/>
        <v>-4.625923076923077</v>
      </c>
    </row>
    <row r="44" spans="1:17" x14ac:dyDescent="0.2">
      <c r="A44" s="223">
        <v>0</v>
      </c>
      <c r="B44" s="222">
        <f t="shared" si="15"/>
        <v>40.721153846153847</v>
      </c>
      <c r="C44" s="56">
        <f t="shared" si="5"/>
        <v>0</v>
      </c>
      <c r="D44" s="203">
        <f>B2</f>
        <v>154.92957746478874</v>
      </c>
      <c r="E44" s="54">
        <f t="shared" si="6"/>
        <v>3.8046460581671848</v>
      </c>
      <c r="F44" s="56">
        <f t="shared" si="16"/>
        <v>0.182</v>
      </c>
      <c r="G44" s="54">
        <f t="shared" si="8"/>
        <v>3.8046460581671848</v>
      </c>
      <c r="H44" s="56">
        <f t="shared" si="17"/>
        <v>3.8046460581671848</v>
      </c>
      <c r="I44" s="57">
        <f t="shared" si="18"/>
        <v>5.3515035595413951E-5</v>
      </c>
      <c r="J44" s="63">
        <f t="shared" si="13"/>
        <v>2.2483959955159022E-3</v>
      </c>
      <c r="K44" s="184">
        <f t="shared" si="10"/>
        <v>2.2483959955159021</v>
      </c>
      <c r="L44" s="136">
        <f t="shared" si="11"/>
        <v>1</v>
      </c>
      <c r="M44" s="55">
        <f t="shared" si="19"/>
        <v>5.4352086545245495</v>
      </c>
      <c r="N44" s="55">
        <f t="shared" si="14"/>
        <v>8.2910618528106109E-3</v>
      </c>
      <c r="O44" s="55">
        <f t="shared" si="12"/>
        <v>154.92957746478874</v>
      </c>
      <c r="P44" s="55">
        <f t="shared" si="20"/>
        <v>-10.26173076923077</v>
      </c>
      <c r="Q44" s="55">
        <f t="shared" si="21"/>
        <v>-4.5607692307692309</v>
      </c>
    </row>
    <row r="45" spans="1:17" x14ac:dyDescent="0.2">
      <c r="A45" s="223">
        <v>0</v>
      </c>
      <c r="B45" s="222">
        <f t="shared" si="15"/>
        <v>40.139423076923073</v>
      </c>
      <c r="C45" s="56">
        <f t="shared" si="5"/>
        <v>0</v>
      </c>
      <c r="D45" s="203">
        <f>B2</f>
        <v>154.92957746478874</v>
      </c>
      <c r="E45" s="54">
        <f t="shared" si="6"/>
        <v>3.8597858561116372</v>
      </c>
      <c r="F45" s="56">
        <f t="shared" si="16"/>
        <v>0.182</v>
      </c>
      <c r="G45" s="54">
        <f t="shared" si="8"/>
        <v>3.8597858561116372</v>
      </c>
      <c r="H45" s="56">
        <f t="shared" si="17"/>
        <v>3.8597858561116372</v>
      </c>
      <c r="I45" s="57">
        <f t="shared" si="18"/>
        <v>5.2750535086908675E-5</v>
      </c>
      <c r="J45" s="63">
        <f t="shared" si="13"/>
        <v>2.3011465306028108E-3</v>
      </c>
      <c r="K45" s="184">
        <f t="shared" si="10"/>
        <v>2.3011465306028107</v>
      </c>
      <c r="L45" s="136">
        <f t="shared" si="11"/>
        <v>1</v>
      </c>
      <c r="M45" s="55">
        <f t="shared" si="19"/>
        <v>5.5139797944451958</v>
      </c>
      <c r="N45" s="55">
        <f t="shared" si="14"/>
        <v>8.1726181120562735E-3</v>
      </c>
      <c r="O45" s="55">
        <f t="shared" si="12"/>
        <v>154.92957746478874</v>
      </c>
      <c r="P45" s="55">
        <f t="shared" si="20"/>
        <v>-10.115134615384614</v>
      </c>
      <c r="Q45" s="55">
        <f t="shared" si="21"/>
        <v>-4.4956153846153839</v>
      </c>
    </row>
    <row r="46" spans="1:17" x14ac:dyDescent="0.2">
      <c r="A46" s="223">
        <v>0</v>
      </c>
      <c r="B46" s="222">
        <f t="shared" si="15"/>
        <v>39.557692307692307</v>
      </c>
      <c r="C46" s="56">
        <f t="shared" si="5"/>
        <v>0</v>
      </c>
      <c r="D46" s="203">
        <f>B2</f>
        <v>154.92957746478874</v>
      </c>
      <c r="E46" s="54">
        <f t="shared" si="6"/>
        <v>3.9165474128191611</v>
      </c>
      <c r="F46" s="56">
        <f t="shared" si="16"/>
        <v>0.182</v>
      </c>
      <c r="G46" s="54">
        <f t="shared" si="8"/>
        <v>3.9165474128191611</v>
      </c>
      <c r="H46" s="56">
        <f t="shared" si="17"/>
        <v>3.9165474128191611</v>
      </c>
      <c r="I46" s="57">
        <f t="shared" si="18"/>
        <v>5.1986034578402119E-5</v>
      </c>
      <c r="J46" s="63">
        <f t="shared" si="13"/>
        <v>2.353132565181213E-3</v>
      </c>
      <c r="K46" s="184">
        <f t="shared" si="10"/>
        <v>2.3531325651812129</v>
      </c>
      <c r="L46" s="136">
        <f t="shared" si="11"/>
        <v>1</v>
      </c>
      <c r="M46" s="55">
        <f t="shared" si="19"/>
        <v>5.5950677325988014</v>
      </c>
      <c r="N46" s="55">
        <f t="shared" si="14"/>
        <v>8.0541743713017366E-3</v>
      </c>
      <c r="O46" s="55">
        <f t="shared" si="12"/>
        <v>154.92957746478874</v>
      </c>
      <c r="P46" s="55">
        <f t="shared" si="20"/>
        <v>-9.9685384615384613</v>
      </c>
      <c r="Q46" s="55">
        <f t="shared" si="21"/>
        <v>-4.4304615384615387</v>
      </c>
    </row>
    <row r="47" spans="1:17" x14ac:dyDescent="0.2">
      <c r="A47" s="223">
        <v>0</v>
      </c>
      <c r="B47" s="222">
        <f t="shared" si="15"/>
        <v>38.975961538461533</v>
      </c>
      <c r="C47" s="56">
        <f t="shared" si="5"/>
        <v>0</v>
      </c>
      <c r="D47" s="203">
        <f>B2</f>
        <v>154.92957746478874</v>
      </c>
      <c r="E47" s="54">
        <f t="shared" si="6"/>
        <v>3.9750033443537758</v>
      </c>
      <c r="F47" s="56">
        <f t="shared" si="16"/>
        <v>0.182</v>
      </c>
      <c r="G47" s="54">
        <f t="shared" si="8"/>
        <v>3.9750033443537758</v>
      </c>
      <c r="H47" s="56">
        <f t="shared" si="17"/>
        <v>3.9750033443537758</v>
      </c>
      <c r="I47" s="57">
        <f t="shared" si="18"/>
        <v>5.1221534069896824E-5</v>
      </c>
      <c r="J47" s="63">
        <f t="shared" si="13"/>
        <v>2.40435409925111E-3</v>
      </c>
      <c r="K47" s="184">
        <f t="shared" si="10"/>
        <v>2.4043540992511101</v>
      </c>
      <c r="L47" s="136">
        <f t="shared" si="11"/>
        <v>1</v>
      </c>
      <c r="M47" s="55">
        <f t="shared" si="19"/>
        <v>5.6785762062196801</v>
      </c>
      <c r="N47" s="55">
        <f t="shared" si="14"/>
        <v>7.9357306305473958E-3</v>
      </c>
      <c r="O47" s="55">
        <f t="shared" si="12"/>
        <v>154.92957746478874</v>
      </c>
      <c r="P47" s="55">
        <f t="shared" si="20"/>
        <v>-9.8219423076923071</v>
      </c>
      <c r="Q47" s="55">
        <f t="shared" si="21"/>
        <v>-4.3653076923076917</v>
      </c>
    </row>
    <row r="48" spans="1:17" x14ac:dyDescent="0.2">
      <c r="A48" s="223">
        <v>0</v>
      </c>
      <c r="B48" s="222">
        <f t="shared" si="15"/>
        <v>38.394230769230766</v>
      </c>
      <c r="C48" s="56">
        <f t="shared" si="5"/>
        <v>0</v>
      </c>
      <c r="D48" s="203">
        <f>B2</f>
        <v>154.92957746478874</v>
      </c>
      <c r="E48" s="54">
        <f t="shared" si="6"/>
        <v>4.0352306677530754</v>
      </c>
      <c r="F48" s="56">
        <f t="shared" si="16"/>
        <v>0.182</v>
      </c>
      <c r="G48" s="54">
        <f t="shared" si="8"/>
        <v>4.0352306677530754</v>
      </c>
      <c r="H48" s="56">
        <f t="shared" si="17"/>
        <v>4.0352306677530754</v>
      </c>
      <c r="I48" s="57">
        <f t="shared" si="18"/>
        <v>5.0457033561390288E-5</v>
      </c>
      <c r="J48" s="63">
        <f t="shared" si="13"/>
        <v>2.4548111328125005E-3</v>
      </c>
      <c r="K48" s="184">
        <f t="shared" si="10"/>
        <v>2.4548111328125004</v>
      </c>
      <c r="L48" s="136">
        <f t="shared" si="11"/>
        <v>1</v>
      </c>
      <c r="M48" s="55">
        <f t="shared" si="19"/>
        <v>5.7646152396472505</v>
      </c>
      <c r="N48" s="55">
        <f t="shared" si="14"/>
        <v>7.8172868897928623E-3</v>
      </c>
      <c r="O48" s="55">
        <f t="shared" si="12"/>
        <v>154.92957746478874</v>
      </c>
      <c r="P48" s="55">
        <f t="shared" si="20"/>
        <v>-9.6753461538461529</v>
      </c>
      <c r="Q48" s="55">
        <f t="shared" si="21"/>
        <v>-4.3001538461538455</v>
      </c>
    </row>
    <row r="49" spans="1:17" x14ac:dyDescent="0.2">
      <c r="A49" s="223">
        <v>0</v>
      </c>
      <c r="B49" s="222">
        <f t="shared" si="15"/>
        <v>37.8125</v>
      </c>
      <c r="C49" s="56">
        <f t="shared" si="5"/>
        <v>0</v>
      </c>
      <c r="D49" s="203">
        <f>B2</f>
        <v>154.92957746478874</v>
      </c>
      <c r="E49" s="54">
        <f t="shared" si="6"/>
        <v>4.0973111395646606</v>
      </c>
      <c r="F49" s="56">
        <f t="shared" si="16"/>
        <v>0.182</v>
      </c>
      <c r="G49" s="54">
        <f t="shared" si="8"/>
        <v>4.0973111395646606</v>
      </c>
      <c r="H49" s="56">
        <f t="shared" si="17"/>
        <v>4.0973111395646606</v>
      </c>
      <c r="I49" s="57">
        <f t="shared" si="18"/>
        <v>4.9692533052884383E-5</v>
      </c>
      <c r="J49" s="63">
        <f t="shared" si="13"/>
        <v>2.5045036658653849E-3</v>
      </c>
      <c r="K49" s="184">
        <f t="shared" si="10"/>
        <v>2.5045036658653848</v>
      </c>
      <c r="L49" s="136">
        <f t="shared" si="11"/>
        <v>1</v>
      </c>
      <c r="M49" s="55">
        <f t="shared" si="19"/>
        <v>5.8533016279495156</v>
      </c>
      <c r="N49" s="55">
        <f t="shared" si="14"/>
        <v>7.6988431490384261E-3</v>
      </c>
      <c r="O49" s="55">
        <f t="shared" si="12"/>
        <v>154.92957746478874</v>
      </c>
      <c r="P49" s="55">
        <f t="shared" si="20"/>
        <v>-9.5287500000000005</v>
      </c>
      <c r="Q49" s="55">
        <f t="shared" si="21"/>
        <v>-4.2350000000000003</v>
      </c>
    </row>
    <row r="50" spans="1:17" x14ac:dyDescent="0.2">
      <c r="A50" s="223">
        <v>0</v>
      </c>
      <c r="B50" s="222">
        <f t="shared" si="15"/>
        <v>37.230769230769234</v>
      </c>
      <c r="C50" s="56">
        <f t="shared" si="5"/>
        <v>0</v>
      </c>
      <c r="D50" s="203">
        <f>B2</f>
        <v>154.92957746478874</v>
      </c>
      <c r="E50" s="54">
        <f t="shared" si="6"/>
        <v>4.1613316261203579</v>
      </c>
      <c r="F50" s="56">
        <f t="shared" si="16"/>
        <v>0.182</v>
      </c>
      <c r="G50" s="54">
        <f t="shared" si="8"/>
        <v>4.1613316261203579</v>
      </c>
      <c r="H50" s="56">
        <f t="shared" si="17"/>
        <v>4.1613316261203579</v>
      </c>
      <c r="I50" s="57">
        <f t="shared" si="18"/>
        <v>4.8928032544378471E-5</v>
      </c>
      <c r="J50" s="63">
        <f t="shared" si="13"/>
        <v>2.5534316984097633E-3</v>
      </c>
      <c r="K50" s="184">
        <f t="shared" si="10"/>
        <v>2.5534316984097631</v>
      </c>
      <c r="L50" s="136">
        <f t="shared" si="11"/>
        <v>1</v>
      </c>
      <c r="M50" s="55">
        <f t="shared" si="19"/>
        <v>5.9447594658862251</v>
      </c>
      <c r="N50" s="55">
        <f t="shared" si="14"/>
        <v>7.580399408283988E-3</v>
      </c>
      <c r="O50" s="55">
        <f t="shared" si="12"/>
        <v>154.92957746478871</v>
      </c>
      <c r="P50" s="55">
        <f t="shared" si="20"/>
        <v>-9.3821538461538463</v>
      </c>
      <c r="Q50" s="55">
        <f t="shared" si="21"/>
        <v>-4.1698461538461542</v>
      </c>
    </row>
    <row r="51" spans="1:17" x14ac:dyDescent="0.2">
      <c r="A51" s="223">
        <v>0</v>
      </c>
      <c r="B51" s="222">
        <f t="shared" si="15"/>
        <v>36.649038461538467</v>
      </c>
      <c r="C51" s="56">
        <f t="shared" si="5"/>
        <v>0</v>
      </c>
      <c r="D51" s="203">
        <f>B2</f>
        <v>154.92957746478874</v>
      </c>
      <c r="E51" s="54">
        <f t="shared" si="6"/>
        <v>4.2273845090746498</v>
      </c>
      <c r="F51" s="56">
        <f t="shared" si="16"/>
        <v>0.182</v>
      </c>
      <c r="G51" s="54">
        <f t="shared" si="8"/>
        <v>4.2273845090746498</v>
      </c>
      <c r="H51" s="56">
        <f t="shared" si="17"/>
        <v>4.2273845090746498</v>
      </c>
      <c r="I51" s="57">
        <f t="shared" si="18"/>
        <v>4.8163532035872552E-5</v>
      </c>
      <c r="J51" s="63">
        <f t="shared" si="13"/>
        <v>2.601595230445636E-3</v>
      </c>
      <c r="K51" s="184">
        <f t="shared" si="10"/>
        <v>2.601595230445636</v>
      </c>
      <c r="L51" s="136">
        <f t="shared" si="11"/>
        <v>1</v>
      </c>
      <c r="M51" s="55">
        <f t="shared" si="19"/>
        <v>6.0391207272494993</v>
      </c>
      <c r="N51" s="55">
        <f t="shared" si="14"/>
        <v>7.4619556675295518E-3</v>
      </c>
      <c r="O51" s="55">
        <f t="shared" si="12"/>
        <v>154.92957746478876</v>
      </c>
      <c r="P51" s="55">
        <f t="shared" si="20"/>
        <v>-9.2355576923076939</v>
      </c>
      <c r="Q51" s="55">
        <f t="shared" si="21"/>
        <v>-4.1046923076923081</v>
      </c>
    </row>
    <row r="52" spans="1:17" x14ac:dyDescent="0.2">
      <c r="A52" s="223">
        <v>0</v>
      </c>
      <c r="B52" s="222">
        <f t="shared" si="15"/>
        <v>36.067307692307693</v>
      </c>
      <c r="C52" s="56">
        <f t="shared" si="5"/>
        <v>0</v>
      </c>
      <c r="D52" s="203">
        <f>B2</f>
        <v>154.92957746478874</v>
      </c>
      <c r="E52" s="54">
        <f t="shared" si="6"/>
        <v>4.2955681301887569</v>
      </c>
      <c r="F52" s="56">
        <f t="shared" si="16"/>
        <v>0.182</v>
      </c>
      <c r="G52" s="54">
        <f t="shared" si="8"/>
        <v>4.2955681301887569</v>
      </c>
      <c r="H52" s="56">
        <f t="shared" si="17"/>
        <v>4.2955681301887569</v>
      </c>
      <c r="I52" s="57">
        <f t="shared" si="18"/>
        <v>4.7399031527367222E-5</v>
      </c>
      <c r="J52" s="63">
        <f t="shared" si="13"/>
        <v>2.6489942619730032E-3</v>
      </c>
      <c r="K52" s="184">
        <f t="shared" si="10"/>
        <v>2.6489942619730034</v>
      </c>
      <c r="L52" s="136">
        <f t="shared" si="11"/>
        <v>1</v>
      </c>
      <c r="M52" s="55">
        <f t="shared" si="19"/>
        <v>6.1365259002696524</v>
      </c>
      <c r="N52" s="55">
        <f t="shared" si="14"/>
        <v>7.3435119267752031E-3</v>
      </c>
      <c r="O52" s="55">
        <f t="shared" si="12"/>
        <v>154.92957746478874</v>
      </c>
      <c r="P52" s="55">
        <f t="shared" si="20"/>
        <v>-9.0889615384615396</v>
      </c>
      <c r="Q52" s="55">
        <f t="shared" si="21"/>
        <v>-4.039538461538462</v>
      </c>
    </row>
    <row r="53" spans="1:17" x14ac:dyDescent="0.2">
      <c r="A53" s="223">
        <v>0</v>
      </c>
      <c r="B53" s="222">
        <f t="shared" si="15"/>
        <v>35.485576923076927</v>
      </c>
      <c r="C53" s="56">
        <f t="shared" si="5"/>
        <v>0</v>
      </c>
      <c r="D53" s="203">
        <f>B2</f>
        <v>154.92957746478874</v>
      </c>
      <c r="E53" s="54">
        <f t="shared" si="6"/>
        <v>4.3659872798639823</v>
      </c>
      <c r="F53" s="56">
        <f t="shared" si="16"/>
        <v>0.182</v>
      </c>
      <c r="G53" s="54">
        <f t="shared" si="8"/>
        <v>4.3659872798639823</v>
      </c>
      <c r="H53" s="56">
        <f t="shared" si="17"/>
        <v>4.3659872798639823</v>
      </c>
      <c r="I53" s="57">
        <f t="shared" si="18"/>
        <v>4.6634531018860727E-5</v>
      </c>
      <c r="J53" s="63">
        <f t="shared" si="13"/>
        <v>2.6956287929918638E-3</v>
      </c>
      <c r="K53" s="184">
        <f t="shared" si="10"/>
        <v>2.6956287929918639</v>
      </c>
      <c r="L53" s="136">
        <f t="shared" si="11"/>
        <v>1</v>
      </c>
      <c r="M53" s="55">
        <f t="shared" si="19"/>
        <v>6.2371246855199747</v>
      </c>
      <c r="N53" s="55">
        <f t="shared" si="14"/>
        <v>7.2250681860206766E-3</v>
      </c>
      <c r="O53" s="55">
        <f t="shared" si="12"/>
        <v>154.92957746478874</v>
      </c>
      <c r="P53" s="55">
        <f t="shared" si="20"/>
        <v>-8.9423653846153854</v>
      </c>
      <c r="Q53" s="55">
        <f t="shared" si="21"/>
        <v>-3.9743846153846158</v>
      </c>
    </row>
    <row r="54" spans="1:17" x14ac:dyDescent="0.2">
      <c r="A54" s="223">
        <v>0</v>
      </c>
      <c r="B54" s="222">
        <f t="shared" si="15"/>
        <v>34.903846153846153</v>
      </c>
      <c r="C54" s="56">
        <f t="shared" si="5"/>
        <v>0</v>
      </c>
      <c r="D54" s="203">
        <f>B2</f>
        <v>154.92957746478874</v>
      </c>
      <c r="E54" s="54">
        <f t="shared" si="6"/>
        <v>4.4387537345283823</v>
      </c>
      <c r="F54" s="56">
        <f t="shared" si="16"/>
        <v>0.182</v>
      </c>
      <c r="G54" s="54">
        <f t="shared" si="8"/>
        <v>4.4387537345283823</v>
      </c>
      <c r="H54" s="56">
        <f t="shared" si="17"/>
        <v>4.4387537345283823</v>
      </c>
      <c r="I54" s="57">
        <f t="shared" si="18"/>
        <v>4.5870030510355377E-5</v>
      </c>
      <c r="J54" s="63">
        <f t="shared" si="13"/>
        <v>2.7414988235022193E-3</v>
      </c>
      <c r="K54" s="184">
        <f t="shared" si="10"/>
        <v>2.7414988235022193</v>
      </c>
      <c r="L54" s="136">
        <f t="shared" si="11"/>
        <v>1</v>
      </c>
      <c r="M54" s="55">
        <f t="shared" si="19"/>
        <v>6.3410767636119747</v>
      </c>
      <c r="N54" s="55">
        <f t="shared" si="14"/>
        <v>7.1066244452663253E-3</v>
      </c>
      <c r="O54" s="55">
        <f t="shared" si="12"/>
        <v>154.92957746478874</v>
      </c>
      <c r="P54" s="55">
        <f t="shared" si="20"/>
        <v>-8.7957692307692312</v>
      </c>
      <c r="Q54" s="55">
        <f t="shared" si="21"/>
        <v>-3.9092307692307693</v>
      </c>
    </row>
    <row r="55" spans="1:17" x14ac:dyDescent="0.2">
      <c r="A55" s="223">
        <v>0</v>
      </c>
      <c r="B55" s="222">
        <f t="shared" si="15"/>
        <v>34.322115384615387</v>
      </c>
      <c r="C55" s="56">
        <f t="shared" si="5"/>
        <v>0</v>
      </c>
      <c r="D55" s="203">
        <f>B2</f>
        <v>154.92957746478874</v>
      </c>
      <c r="E55" s="54">
        <f t="shared" si="6"/>
        <v>4.5139868486729311</v>
      </c>
      <c r="F55" s="56">
        <f t="shared" si="16"/>
        <v>0.182</v>
      </c>
      <c r="G55" s="54">
        <f t="shared" si="8"/>
        <v>4.5139868486729311</v>
      </c>
      <c r="H55" s="56">
        <f t="shared" si="17"/>
        <v>4.5139868486729311</v>
      </c>
      <c r="I55" s="57">
        <f t="shared" si="18"/>
        <v>4.5105530001848903E-5</v>
      </c>
      <c r="J55" s="63">
        <f t="shared" si="13"/>
        <v>2.7866043535040683E-3</v>
      </c>
      <c r="K55" s="184">
        <f t="shared" si="10"/>
        <v>2.7866043535040683</v>
      </c>
      <c r="L55" s="136">
        <f t="shared" si="11"/>
        <v>1</v>
      </c>
      <c r="M55" s="55">
        <f t="shared" si="19"/>
        <v>6.4485526409613296</v>
      </c>
      <c r="N55" s="55">
        <f t="shared" si="14"/>
        <v>6.9881807045118023E-3</v>
      </c>
      <c r="O55" s="55">
        <f t="shared" si="12"/>
        <v>154.92957746478874</v>
      </c>
      <c r="P55" s="55">
        <f t="shared" si="20"/>
        <v>-8.649173076923077</v>
      </c>
      <c r="Q55" s="55">
        <f t="shared" si="21"/>
        <v>-3.8440769230769236</v>
      </c>
    </row>
    <row r="56" spans="1:17" x14ac:dyDescent="0.2">
      <c r="A56" s="223">
        <v>0</v>
      </c>
      <c r="B56" s="222">
        <f t="shared" si="15"/>
        <v>33.740384615384613</v>
      </c>
      <c r="C56" s="56">
        <f t="shared" si="5"/>
        <v>0</v>
      </c>
      <c r="D56" s="203">
        <f>B2</f>
        <v>154.92957746478874</v>
      </c>
      <c r="E56" s="54">
        <f t="shared" si="6"/>
        <v>4.5918142081328099</v>
      </c>
      <c r="F56" s="56">
        <f t="shared" si="16"/>
        <v>0.182</v>
      </c>
      <c r="G56" s="54">
        <f t="shared" si="8"/>
        <v>4.5918142081328099</v>
      </c>
      <c r="H56" s="56">
        <f t="shared" si="17"/>
        <v>4.5918142081328099</v>
      </c>
      <c r="I56" s="57">
        <f t="shared" si="18"/>
        <v>4.4341029493343519E-5</v>
      </c>
      <c r="J56" s="63">
        <f t="shared" si="13"/>
        <v>2.8309453829974116E-3</v>
      </c>
      <c r="K56" s="184">
        <f t="shared" si="10"/>
        <v>2.8309453829974118</v>
      </c>
      <c r="L56" s="136">
        <f t="shared" si="11"/>
        <v>1</v>
      </c>
      <c r="M56" s="55">
        <f t="shared" si="19"/>
        <v>6.5597345830468718</v>
      </c>
      <c r="N56" s="55">
        <f t="shared" si="14"/>
        <v>6.8697369637574467E-3</v>
      </c>
      <c r="O56" s="55">
        <f t="shared" si="12"/>
        <v>154.92957746478874</v>
      </c>
      <c r="P56" s="55">
        <f t="shared" si="20"/>
        <v>-8.5025769230769228</v>
      </c>
      <c r="Q56" s="55">
        <f t="shared" si="21"/>
        <v>-3.7789230769230766</v>
      </c>
    </row>
    <row r="57" spans="1:17" x14ac:dyDescent="0.2">
      <c r="A57" s="223">
        <v>0</v>
      </c>
      <c r="B57" s="222">
        <f t="shared" si="15"/>
        <v>33.158653846153847</v>
      </c>
      <c r="C57" s="56">
        <f t="shared" si="5"/>
        <v>0</v>
      </c>
      <c r="D57" s="203">
        <f>B2</f>
        <v>154.92957746478874</v>
      </c>
      <c r="E57" s="54">
        <f t="shared" si="6"/>
        <v>4.672372352135139</v>
      </c>
      <c r="F57" s="56">
        <f t="shared" si="16"/>
        <v>0.182</v>
      </c>
      <c r="G57" s="54">
        <f t="shared" si="8"/>
        <v>4.672372352135139</v>
      </c>
      <c r="H57" s="56">
        <f t="shared" si="17"/>
        <v>4.672372352135139</v>
      </c>
      <c r="I57" s="57">
        <f t="shared" si="18"/>
        <v>4.3576528984837071E-5</v>
      </c>
      <c r="J57" s="63">
        <f t="shared" si="13"/>
        <v>2.8745219119822485E-3</v>
      </c>
      <c r="K57" s="184">
        <f t="shared" si="10"/>
        <v>2.8745219119822485</v>
      </c>
      <c r="L57" s="136">
        <f t="shared" si="11"/>
        <v>1</v>
      </c>
      <c r="M57" s="55">
        <f t="shared" si="19"/>
        <v>6.6748176459073409</v>
      </c>
      <c r="N57" s="55">
        <f t="shared" si="14"/>
        <v>6.7512932230029262E-3</v>
      </c>
      <c r="O57" s="55">
        <f t="shared" si="12"/>
        <v>154.92957746478874</v>
      </c>
      <c r="P57" s="55">
        <f t="shared" si="20"/>
        <v>-8.3559807692307686</v>
      </c>
      <c r="Q57" s="55">
        <f t="shared" si="21"/>
        <v>-3.7137692307692309</v>
      </c>
    </row>
    <row r="58" spans="1:17" x14ac:dyDescent="0.2">
      <c r="A58" s="223">
        <v>0</v>
      </c>
      <c r="B58" s="222">
        <f t="shared" si="15"/>
        <v>32.576923076923073</v>
      </c>
      <c r="C58" s="56">
        <f t="shared" si="5"/>
        <v>0</v>
      </c>
      <c r="D58" s="203">
        <f>B2</f>
        <v>154.92957746478874</v>
      </c>
      <c r="E58" s="54">
        <f t="shared" si="6"/>
        <v>4.7558075727089815</v>
      </c>
      <c r="F58" s="56">
        <f t="shared" si="16"/>
        <v>0.182</v>
      </c>
      <c r="G58" s="54">
        <f t="shared" si="8"/>
        <v>4.7558075727089815</v>
      </c>
      <c r="H58" s="56">
        <f t="shared" si="17"/>
        <v>4.7558075727089815</v>
      </c>
      <c r="I58" s="57">
        <f t="shared" si="18"/>
        <v>4.2812028476331681E-5</v>
      </c>
      <c r="J58" s="63">
        <f t="shared" si="13"/>
        <v>2.9173339404585802E-3</v>
      </c>
      <c r="K58" s="184">
        <f t="shared" si="10"/>
        <v>2.9173339404585801</v>
      </c>
      <c r="L58" s="136">
        <f t="shared" si="11"/>
        <v>1</v>
      </c>
      <c r="M58" s="55">
        <f t="shared" si="19"/>
        <v>6.7940108181556882</v>
      </c>
      <c r="N58" s="55">
        <f t="shared" si="14"/>
        <v>6.6328494822485698E-3</v>
      </c>
      <c r="O58" s="55">
        <f t="shared" si="12"/>
        <v>154.92957746478874</v>
      </c>
      <c r="P58" s="55">
        <f t="shared" si="20"/>
        <v>-8.2093846153846144</v>
      </c>
      <c r="Q58" s="55">
        <f t="shared" si="21"/>
        <v>-3.6486153846153844</v>
      </c>
    </row>
    <row r="59" spans="1:17" x14ac:dyDescent="0.2">
      <c r="A59" s="223">
        <v>0</v>
      </c>
      <c r="B59" s="222">
        <f t="shared" si="15"/>
        <v>31.995192307692307</v>
      </c>
      <c r="C59" s="56">
        <f t="shared" si="5"/>
        <v>0</v>
      </c>
      <c r="D59" s="203">
        <f>B2</f>
        <v>154.92957746478874</v>
      </c>
      <c r="E59" s="54">
        <f t="shared" si="6"/>
        <v>4.8422768013036901</v>
      </c>
      <c r="F59" s="56">
        <f t="shared" si="16"/>
        <v>0.182</v>
      </c>
      <c r="G59" s="54">
        <f t="shared" si="8"/>
        <v>4.8422768013036901</v>
      </c>
      <c r="H59" s="56">
        <f t="shared" si="17"/>
        <v>4.8422768013036901</v>
      </c>
      <c r="I59" s="57">
        <f t="shared" si="18"/>
        <v>4.204752796782524E-5</v>
      </c>
      <c r="J59" s="63">
        <f t="shared" si="13"/>
        <v>2.9593814684264054E-3</v>
      </c>
      <c r="K59" s="184">
        <f t="shared" si="10"/>
        <v>2.9593814684264053</v>
      </c>
      <c r="L59" s="136">
        <f t="shared" si="11"/>
        <v>1</v>
      </c>
      <c r="M59" s="55">
        <f t="shared" si="19"/>
        <v>6.9175382875767006</v>
      </c>
      <c r="N59" s="55">
        <f t="shared" si="14"/>
        <v>6.5144057414940519E-3</v>
      </c>
      <c r="O59" s="55">
        <f t="shared" si="12"/>
        <v>154.92957746478874</v>
      </c>
      <c r="P59" s="55">
        <f t="shared" si="20"/>
        <v>-8.062788461538462</v>
      </c>
      <c r="Q59" s="55">
        <f t="shared" si="21"/>
        <v>-3.5834615384615383</v>
      </c>
    </row>
    <row r="60" spans="1:17" x14ac:dyDescent="0.2">
      <c r="A60" s="223">
        <v>0</v>
      </c>
      <c r="B60" s="222">
        <f t="shared" si="15"/>
        <v>31.413461538461533</v>
      </c>
      <c r="C60" s="56">
        <f t="shared" si="5"/>
        <v>0</v>
      </c>
      <c r="D60" s="203">
        <f>B2</f>
        <v>154.92957746478874</v>
      </c>
      <c r="E60" s="54">
        <f t="shared" si="6"/>
        <v>4.9319485939204259</v>
      </c>
      <c r="F60" s="56">
        <f t="shared" si="16"/>
        <v>0.182</v>
      </c>
      <c r="G60" s="54">
        <f t="shared" si="8"/>
        <v>4.9319485939204259</v>
      </c>
      <c r="H60" s="56">
        <f t="shared" si="17"/>
        <v>4.9319485939204259</v>
      </c>
      <c r="I60" s="57">
        <f t="shared" si="18"/>
        <v>4.1283027459319829E-5</v>
      </c>
      <c r="J60" s="63">
        <f t="shared" si="13"/>
        <v>3.0006644958857254E-3</v>
      </c>
      <c r="K60" s="184">
        <f t="shared" si="10"/>
        <v>3.0006644958857254</v>
      </c>
      <c r="L60" s="136">
        <f t="shared" si="11"/>
        <v>1</v>
      </c>
      <c r="M60" s="55">
        <f t="shared" si="19"/>
        <v>7.0456408484577517</v>
      </c>
      <c r="N60" s="55">
        <f t="shared" si="14"/>
        <v>6.395962000739692E-3</v>
      </c>
      <c r="O60" s="55">
        <f t="shared" si="12"/>
        <v>154.92957746478874</v>
      </c>
      <c r="P60" s="55">
        <f t="shared" si="20"/>
        <v>-7.916192307692306</v>
      </c>
      <c r="Q60" s="55">
        <f t="shared" si="21"/>
        <v>-3.5183076923076917</v>
      </c>
    </row>
    <row r="61" spans="1:17" x14ac:dyDescent="0.2">
      <c r="A61" s="223">
        <v>0</v>
      </c>
      <c r="B61" s="222">
        <f t="shared" si="15"/>
        <v>30.831730769230766</v>
      </c>
      <c r="C61" s="56">
        <f t="shared" si="5"/>
        <v>0</v>
      </c>
      <c r="D61" s="203">
        <f>B2</f>
        <v>154.92957746478874</v>
      </c>
      <c r="E61" s="54">
        <f t="shared" si="6"/>
        <v>5.0250042277679805</v>
      </c>
      <c r="F61" s="56">
        <f t="shared" si="16"/>
        <v>0.182</v>
      </c>
      <c r="G61" s="54">
        <f t="shared" si="8"/>
        <v>5.0250042277679805</v>
      </c>
      <c r="H61" s="56">
        <f t="shared" si="17"/>
        <v>5.0250042277679805</v>
      </c>
      <c r="I61" s="57">
        <f t="shared" si="18"/>
        <v>4.0518526950813416E-5</v>
      </c>
      <c r="J61" s="63">
        <f t="shared" si="13"/>
        <v>3.0411830228365389E-3</v>
      </c>
      <c r="K61" s="184">
        <f t="shared" si="10"/>
        <v>3.0411830228365391</v>
      </c>
      <c r="L61" s="136">
        <f t="shared" si="11"/>
        <v>1</v>
      </c>
      <c r="M61" s="55">
        <f t="shared" si="19"/>
        <v>7.1785774682399719</v>
      </c>
      <c r="N61" s="55">
        <f t="shared" si="14"/>
        <v>6.2775182599851768E-3</v>
      </c>
      <c r="O61" s="55">
        <f t="shared" si="12"/>
        <v>154.92957746478874</v>
      </c>
      <c r="P61" s="55">
        <f t="shared" si="20"/>
        <v>-7.7695961538461535</v>
      </c>
      <c r="Q61" s="55">
        <f t="shared" si="21"/>
        <v>-3.453153846153846</v>
      </c>
    </row>
    <row r="62" spans="1:17" x14ac:dyDescent="0.2">
      <c r="A62" s="223">
        <v>0</v>
      </c>
      <c r="B62" s="222">
        <f t="shared" si="15"/>
        <v>30.25</v>
      </c>
      <c r="C62" s="56">
        <f t="shared" si="5"/>
        <v>0</v>
      </c>
      <c r="D62" s="203">
        <f>B2</f>
        <v>154.92957746478874</v>
      </c>
      <c r="E62" s="54">
        <f t="shared" si="6"/>
        <v>5.1216389244558256</v>
      </c>
      <c r="F62" s="56">
        <f t="shared" si="16"/>
        <v>0.182</v>
      </c>
      <c r="G62" s="54">
        <f t="shared" si="8"/>
        <v>5.1216389244558256</v>
      </c>
      <c r="H62" s="56">
        <f t="shared" si="17"/>
        <v>5.1216389244558256</v>
      </c>
      <c r="I62" s="57">
        <f t="shared" si="18"/>
        <v>3.9754026442307503E-5</v>
      </c>
      <c r="J62" s="63">
        <f t="shared" si="13"/>
        <v>3.0809370492788464E-3</v>
      </c>
      <c r="K62" s="184">
        <f t="shared" si="10"/>
        <v>3.0809370492788464</v>
      </c>
      <c r="L62" s="136">
        <f t="shared" si="11"/>
        <v>1</v>
      </c>
      <c r="M62" s="55">
        <f t="shared" si="19"/>
        <v>7.3166270349368938</v>
      </c>
      <c r="N62" s="55">
        <f t="shared" si="14"/>
        <v>6.1590745192307396E-3</v>
      </c>
      <c r="O62" s="55">
        <f t="shared" si="12"/>
        <v>154.92957746478874</v>
      </c>
      <c r="P62" s="55">
        <f t="shared" si="20"/>
        <v>-7.6230000000000002</v>
      </c>
      <c r="Q62" s="55">
        <f t="shared" si="21"/>
        <v>-3.3879999999999999</v>
      </c>
    </row>
    <row r="63" spans="1:17" x14ac:dyDescent="0.2">
      <c r="A63" s="223">
        <v>0</v>
      </c>
      <c r="B63" s="222">
        <f t="shared" si="15"/>
        <v>29.668269230769234</v>
      </c>
      <c r="C63" s="56">
        <f t="shared" si="5"/>
        <v>0</v>
      </c>
      <c r="D63" s="203">
        <f>B2</f>
        <v>154.92957746478874</v>
      </c>
      <c r="E63" s="54">
        <f t="shared" si="6"/>
        <v>5.2220632170922139</v>
      </c>
      <c r="F63" s="56">
        <f t="shared" si="16"/>
        <v>0.182</v>
      </c>
      <c r="G63" s="54">
        <f t="shared" si="8"/>
        <v>5.2220632170922139</v>
      </c>
      <c r="H63" s="56">
        <f t="shared" si="17"/>
        <v>5.2220632170922139</v>
      </c>
      <c r="I63" s="57">
        <f t="shared" si="18"/>
        <v>3.8989525933801598E-5</v>
      </c>
      <c r="J63" s="63">
        <f t="shared" si="13"/>
        <v>3.1199265752126478E-3</v>
      </c>
      <c r="K63" s="184">
        <f t="shared" si="10"/>
        <v>3.1199265752126477</v>
      </c>
      <c r="L63" s="136">
        <f t="shared" si="11"/>
        <v>1</v>
      </c>
      <c r="M63" s="55">
        <f t="shared" si="19"/>
        <v>7.4600903101317346</v>
      </c>
      <c r="N63" s="55">
        <f t="shared" si="14"/>
        <v>6.0406307784763042E-3</v>
      </c>
      <c r="O63" s="55">
        <f t="shared" si="12"/>
        <v>154.92957746478874</v>
      </c>
      <c r="P63" s="55">
        <f t="shared" si="20"/>
        <v>-7.4764038461538469</v>
      </c>
      <c r="Q63" s="55">
        <f t="shared" si="21"/>
        <v>-3.3228461538461542</v>
      </c>
    </row>
    <row r="64" spans="1:17" x14ac:dyDescent="0.2">
      <c r="A64" s="223">
        <v>0</v>
      </c>
      <c r="B64" s="222">
        <f t="shared" si="15"/>
        <v>29.08653846153846</v>
      </c>
      <c r="C64" s="56">
        <f t="shared" si="5"/>
        <v>0</v>
      </c>
      <c r="D64" s="203">
        <f>B2</f>
        <v>154.92957746478874</v>
      </c>
      <c r="E64" s="54">
        <f t="shared" si="6"/>
        <v>5.3265044814340596</v>
      </c>
      <c r="F64" s="56">
        <f t="shared" si="16"/>
        <v>0.182</v>
      </c>
      <c r="G64" s="54">
        <f t="shared" si="8"/>
        <v>5.3265044814340596</v>
      </c>
      <c r="H64" s="56">
        <f t="shared" si="17"/>
        <v>5.3265044814340596</v>
      </c>
      <c r="I64" s="57">
        <f t="shared" si="18"/>
        <v>3.822502542529614E-5</v>
      </c>
      <c r="J64" s="63">
        <f t="shared" si="13"/>
        <v>3.158151600637944E-3</v>
      </c>
      <c r="K64" s="184">
        <f t="shared" si="10"/>
        <v>3.158151600637944</v>
      </c>
      <c r="L64" s="136">
        <f t="shared" si="11"/>
        <v>1</v>
      </c>
      <c r="M64" s="55">
        <f t="shared" si="19"/>
        <v>7.6092921163343714</v>
      </c>
      <c r="N64" s="55">
        <f t="shared" si="14"/>
        <v>5.9221870377219373E-3</v>
      </c>
      <c r="O64" s="55">
        <f t="shared" si="12"/>
        <v>154.92957746478874</v>
      </c>
      <c r="P64" s="55">
        <f t="shared" si="20"/>
        <v>-7.3298076923076918</v>
      </c>
      <c r="Q64" s="55">
        <f t="shared" si="21"/>
        <v>-3.2576923076923077</v>
      </c>
    </row>
    <row r="65" spans="1:17" x14ac:dyDescent="0.2">
      <c r="A65" s="223">
        <v>0</v>
      </c>
      <c r="B65" s="222">
        <f t="shared" si="15"/>
        <v>28.504807692307693</v>
      </c>
      <c r="C65" s="56">
        <f t="shared" si="5"/>
        <v>0</v>
      </c>
      <c r="D65" s="203">
        <f>B2</f>
        <v>154.92957746478874</v>
      </c>
      <c r="E65" s="54">
        <f t="shared" si="6"/>
        <v>5.4352086545245495</v>
      </c>
      <c r="F65" s="56">
        <f t="shared" si="16"/>
        <v>0.182</v>
      </c>
      <c r="G65" s="54">
        <f t="shared" si="8"/>
        <v>5.4352086545245495</v>
      </c>
      <c r="H65" s="56">
        <f t="shared" si="17"/>
        <v>5.4352086545245495</v>
      </c>
      <c r="I65" s="57">
        <f t="shared" si="18"/>
        <v>3.7460524916789767E-5</v>
      </c>
      <c r="J65" s="63">
        <f t="shared" si="13"/>
        <v>3.1956121255547337E-3</v>
      </c>
      <c r="K65" s="184">
        <f t="shared" si="10"/>
        <v>3.1956121255547338</v>
      </c>
      <c r="L65" s="136">
        <f t="shared" si="11"/>
        <v>1</v>
      </c>
      <c r="M65" s="55">
        <f t="shared" si="19"/>
        <v>7.7645837921779277</v>
      </c>
      <c r="N65" s="55">
        <f t="shared" si="14"/>
        <v>5.8037432969674282E-3</v>
      </c>
      <c r="O65" s="55">
        <f t="shared" si="12"/>
        <v>154.92957746478874</v>
      </c>
      <c r="P65" s="55">
        <f t="shared" si="20"/>
        <v>-7.1832115384615385</v>
      </c>
      <c r="Q65" s="55">
        <f t="shared" si="21"/>
        <v>-3.1925384615384615</v>
      </c>
    </row>
    <row r="66" spans="1:17" x14ac:dyDescent="0.2">
      <c r="A66" s="223">
        <v>0</v>
      </c>
      <c r="B66" s="222">
        <f t="shared" si="15"/>
        <v>27.923076923076923</v>
      </c>
      <c r="C66" s="56">
        <f t="shared" si="5"/>
        <v>0</v>
      </c>
      <c r="D66" s="203">
        <f>B2</f>
        <v>154.92957746478874</v>
      </c>
      <c r="E66" s="54">
        <f t="shared" si="6"/>
        <v>5.5484421681604781</v>
      </c>
      <c r="F66" s="56">
        <f t="shared" si="16"/>
        <v>0.182</v>
      </c>
      <c r="G66" s="54">
        <f t="shared" si="8"/>
        <v>5.5484421681604781</v>
      </c>
      <c r="H66" s="56">
        <f t="shared" si="17"/>
        <v>5.5484421681604781</v>
      </c>
      <c r="I66" s="57">
        <f t="shared" si="18"/>
        <v>3.6696024408284071E-5</v>
      </c>
      <c r="J66" s="63">
        <f t="shared" si="13"/>
        <v>3.2323081499630178E-3</v>
      </c>
      <c r="K66" s="184">
        <f t="shared" si="10"/>
        <v>3.2323081499630177</v>
      </c>
      <c r="L66" s="136">
        <f t="shared" si="11"/>
        <v>1</v>
      </c>
      <c r="M66" s="55">
        <f t="shared" si="19"/>
        <v>7.9263459545149679</v>
      </c>
      <c r="N66" s="55">
        <f t="shared" si="14"/>
        <v>5.6852995562130257E-3</v>
      </c>
      <c r="O66" s="55">
        <f t="shared" si="12"/>
        <v>154.92957746478874</v>
      </c>
      <c r="P66" s="55">
        <f t="shared" si="20"/>
        <v>-7.0366153846153852</v>
      </c>
      <c r="Q66" s="55">
        <f t="shared" si="21"/>
        <v>-3.1273846153846154</v>
      </c>
    </row>
    <row r="67" spans="1:17" x14ac:dyDescent="0.2">
      <c r="A67" s="223">
        <v>0</v>
      </c>
      <c r="B67" s="222">
        <f t="shared" si="15"/>
        <v>27.34134615384615</v>
      </c>
      <c r="C67" s="56">
        <f t="shared" si="5"/>
        <v>0</v>
      </c>
      <c r="D67" s="203">
        <f>B2</f>
        <v>154.92957746478874</v>
      </c>
      <c r="E67" s="54">
        <f t="shared" si="6"/>
        <v>5.6664941291851703</v>
      </c>
      <c r="F67" s="56">
        <f t="shared" si="16"/>
        <v>0.182</v>
      </c>
      <c r="G67" s="54">
        <f t="shared" si="8"/>
        <v>5.6664941291851703</v>
      </c>
      <c r="H67" s="56">
        <f t="shared" si="17"/>
        <v>5.6664941291851703</v>
      </c>
      <c r="I67" s="57">
        <f t="shared" si="18"/>
        <v>3.5931523899778369E-5</v>
      </c>
      <c r="J67" s="63">
        <f t="shared" si="13"/>
        <v>3.2682396738627963E-3</v>
      </c>
      <c r="K67" s="184">
        <f t="shared" si="10"/>
        <v>3.2682396738627961</v>
      </c>
      <c r="L67" s="136">
        <f t="shared" si="11"/>
        <v>1</v>
      </c>
      <c r="M67" s="55">
        <f t="shared" si="19"/>
        <v>8.0949916131216728</v>
      </c>
      <c r="N67" s="55">
        <f t="shared" si="14"/>
        <v>5.5668558154586207E-3</v>
      </c>
      <c r="O67" s="55">
        <f t="shared" si="12"/>
        <v>154.92957746478874</v>
      </c>
      <c r="P67" s="55">
        <f t="shared" si="20"/>
        <v>-6.8900192307692301</v>
      </c>
      <c r="Q67" s="55">
        <f t="shared" si="21"/>
        <v>-3.0622307692307689</v>
      </c>
    </row>
    <row r="68" spans="1:17" x14ac:dyDescent="0.2">
      <c r="A68" s="223">
        <v>0</v>
      </c>
      <c r="B68" s="222">
        <f t="shared" si="15"/>
        <v>26.759615384615383</v>
      </c>
      <c r="C68" s="56">
        <f t="shared" si="5"/>
        <v>0</v>
      </c>
      <c r="D68" s="203">
        <f>B2</f>
        <v>154.92957746478874</v>
      </c>
      <c r="E68" s="54">
        <f t="shared" si="6"/>
        <v>5.7896787841674557</v>
      </c>
      <c r="F68" s="56">
        <f t="shared" si="16"/>
        <v>0.182</v>
      </c>
      <c r="G68" s="54">
        <f t="shared" si="8"/>
        <v>5.7896787841674557</v>
      </c>
      <c r="H68" s="56">
        <f t="shared" si="17"/>
        <v>5.7896787841674557</v>
      </c>
      <c r="I68" s="57">
        <f t="shared" si="18"/>
        <v>3.5167023391272017E-5</v>
      </c>
      <c r="J68" s="63">
        <f t="shared" si="13"/>
        <v>3.3034066972540683E-3</v>
      </c>
      <c r="K68" s="184">
        <f t="shared" si="10"/>
        <v>3.3034066972540685</v>
      </c>
      <c r="L68" s="136">
        <f t="shared" si="11"/>
        <v>1</v>
      </c>
      <c r="M68" s="55">
        <f t="shared" si="19"/>
        <v>8.2709696916677942</v>
      </c>
      <c r="N68" s="55">
        <f t="shared" si="14"/>
        <v>5.448412074704115E-3</v>
      </c>
      <c r="O68" s="55">
        <f t="shared" si="12"/>
        <v>154.92957746478874</v>
      </c>
      <c r="P68" s="55">
        <f t="shared" si="20"/>
        <v>-6.7434230769230767</v>
      </c>
      <c r="Q68" s="55">
        <f t="shared" si="21"/>
        <v>-2.9970769230769232</v>
      </c>
    </row>
    <row r="69" spans="1:17" x14ac:dyDescent="0.2">
      <c r="A69" s="223">
        <v>0</v>
      </c>
      <c r="B69" s="222">
        <f t="shared" si="15"/>
        <v>26.177884615384617</v>
      </c>
      <c r="C69" s="56">
        <f t="shared" si="5"/>
        <v>0</v>
      </c>
      <c r="D69" s="203">
        <f>B2</f>
        <v>154.92957746478874</v>
      </c>
      <c r="E69" s="54">
        <f t="shared" si="6"/>
        <v>5.9183383127045097</v>
      </c>
      <c r="F69" s="56">
        <f t="shared" si="16"/>
        <v>0.182</v>
      </c>
      <c r="G69" s="54">
        <f t="shared" si="8"/>
        <v>5.9183383127045097</v>
      </c>
      <c r="H69" s="56">
        <f t="shared" si="17"/>
        <v>5.9183383127045097</v>
      </c>
      <c r="I69" s="57">
        <f t="shared" si="18"/>
        <v>3.4402522882766111E-5</v>
      </c>
      <c r="J69" s="63">
        <f t="shared" si="13"/>
        <v>3.3378092201368343E-3</v>
      </c>
      <c r="K69" s="184">
        <f t="shared" si="10"/>
        <v>3.3378092201368341</v>
      </c>
      <c r="L69" s="136">
        <f t="shared" si="11"/>
        <v>1</v>
      </c>
      <c r="M69" s="55">
        <f t="shared" si="19"/>
        <v>8.4547690181492996</v>
      </c>
      <c r="N69" s="55">
        <f t="shared" si="14"/>
        <v>5.3299683339496787E-3</v>
      </c>
      <c r="O69" s="55">
        <f t="shared" si="12"/>
        <v>154.92957746478874</v>
      </c>
      <c r="P69" s="55">
        <f t="shared" si="20"/>
        <v>-6.5968269230769234</v>
      </c>
      <c r="Q69" s="55">
        <f t="shared" si="21"/>
        <v>-2.9319230769230771</v>
      </c>
    </row>
    <row r="70" spans="1:17" x14ac:dyDescent="0.2">
      <c r="A70" s="223">
        <v>0</v>
      </c>
      <c r="B70" s="222">
        <f t="shared" si="15"/>
        <v>25.59615384615385</v>
      </c>
      <c r="C70" s="56">
        <f t="shared" si="5"/>
        <v>0</v>
      </c>
      <c r="D70" s="203">
        <f>B2</f>
        <v>154.92957746478874</v>
      </c>
      <c r="E70" s="54">
        <f t="shared" si="6"/>
        <v>6.0528460016296117</v>
      </c>
      <c r="F70" s="56">
        <f t="shared" si="16"/>
        <v>0.182</v>
      </c>
      <c r="G70" s="54">
        <f t="shared" si="8"/>
        <v>6.0528460016296117</v>
      </c>
      <c r="H70" s="56">
        <f t="shared" si="17"/>
        <v>6.0528460016296117</v>
      </c>
      <c r="I70" s="57">
        <f t="shared" si="18"/>
        <v>3.3638022374260199E-5</v>
      </c>
      <c r="J70" s="63">
        <f t="shared" si="13"/>
        <v>3.3714472425110946E-3</v>
      </c>
      <c r="K70" s="184">
        <f t="shared" si="10"/>
        <v>3.3714472425110946</v>
      </c>
      <c r="L70" s="136">
        <f t="shared" si="11"/>
        <v>1</v>
      </c>
      <c r="M70" s="55">
        <f t="shared" si="19"/>
        <v>8.6469228594708749</v>
      </c>
      <c r="N70" s="55">
        <f t="shared" si="14"/>
        <v>5.2115245931952424E-3</v>
      </c>
      <c r="O70" s="55">
        <f t="shared" si="12"/>
        <v>154.92957746478874</v>
      </c>
      <c r="P70" s="55">
        <f t="shared" si="20"/>
        <v>-6.4502307692307701</v>
      </c>
      <c r="Q70" s="55">
        <f t="shared" si="21"/>
        <v>-2.8667692307692314</v>
      </c>
    </row>
    <row r="71" spans="1:17" x14ac:dyDescent="0.2">
      <c r="A71" s="223">
        <v>0</v>
      </c>
      <c r="B71" s="222">
        <f t="shared" si="15"/>
        <v>25.014423076923077</v>
      </c>
      <c r="C71" s="56">
        <f t="shared" si="5"/>
        <v>0</v>
      </c>
      <c r="D71" s="203">
        <f>B2</f>
        <v>154.92957746478874</v>
      </c>
      <c r="E71" s="54">
        <f t="shared" si="6"/>
        <v>6.193609862132627</v>
      </c>
      <c r="F71" s="56">
        <f t="shared" si="16"/>
        <v>0.182</v>
      </c>
      <c r="G71" s="54">
        <f t="shared" si="8"/>
        <v>6.193609862132627</v>
      </c>
      <c r="H71" s="56">
        <f t="shared" si="17"/>
        <v>6.193609862132627</v>
      </c>
      <c r="I71" s="57">
        <f t="shared" si="18"/>
        <v>3.287352186575468E-5</v>
      </c>
      <c r="J71" s="63">
        <f t="shared" si="13"/>
        <v>3.4043207643768493E-3</v>
      </c>
      <c r="K71" s="184">
        <f t="shared" si="10"/>
        <v>3.4043207643768492</v>
      </c>
      <c r="L71" s="136">
        <f t="shared" si="11"/>
        <v>1</v>
      </c>
      <c r="M71" s="55">
        <f t="shared" si="19"/>
        <v>8.8480140887608965</v>
      </c>
      <c r="N71" s="55">
        <f t="shared" si="14"/>
        <v>5.093080852440866E-3</v>
      </c>
      <c r="O71" s="55">
        <f t="shared" si="12"/>
        <v>154.92957746478874</v>
      </c>
      <c r="P71" s="55">
        <f t="shared" si="20"/>
        <v>-6.303634615384615</v>
      </c>
      <c r="Q71" s="55">
        <f t="shared" si="21"/>
        <v>-2.8016153846153848</v>
      </c>
    </row>
    <row r="72" spans="1:17" x14ac:dyDescent="0.2">
      <c r="A72" s="223">
        <v>0</v>
      </c>
      <c r="B72" s="222">
        <f t="shared" si="15"/>
        <v>24.432692307692307</v>
      </c>
      <c r="C72" s="56">
        <f t="shared" si="5"/>
        <v>0</v>
      </c>
      <c r="D72" s="203">
        <f>B2</f>
        <v>154.92957746478874</v>
      </c>
      <c r="E72" s="54">
        <f t="shared" si="6"/>
        <v>6.3410767636119756</v>
      </c>
      <c r="F72" s="56">
        <f t="shared" si="16"/>
        <v>0.182</v>
      </c>
      <c r="G72" s="54">
        <f t="shared" si="8"/>
        <v>6.3410767636119756</v>
      </c>
      <c r="H72" s="56">
        <f t="shared" si="17"/>
        <v>6.3410767636119756</v>
      </c>
      <c r="I72" s="57">
        <f t="shared" si="18"/>
        <v>3.2109021357248564E-5</v>
      </c>
      <c r="J72" s="63">
        <f t="shared" si="13"/>
        <v>3.436429785734098E-3</v>
      </c>
      <c r="K72" s="184">
        <f t="shared" si="10"/>
        <v>3.4364297857340982</v>
      </c>
      <c r="L72" s="136">
        <f t="shared" si="11"/>
        <v>1</v>
      </c>
      <c r="M72" s="55">
        <f t="shared" si="19"/>
        <v>9.0586810908742521</v>
      </c>
      <c r="N72" s="55">
        <f t="shared" si="14"/>
        <v>4.9746371116863976E-3</v>
      </c>
      <c r="O72" s="55">
        <f t="shared" si="12"/>
        <v>154.92957746478874</v>
      </c>
      <c r="P72" s="55">
        <f t="shared" si="20"/>
        <v>-6.1570384615384617</v>
      </c>
      <c r="Q72" s="55">
        <f t="shared" si="21"/>
        <v>-2.7364615384615383</v>
      </c>
    </row>
    <row r="73" spans="1:17" x14ac:dyDescent="0.2">
      <c r="A73" s="223">
        <v>0</v>
      </c>
      <c r="B73" s="222">
        <f t="shared" si="15"/>
        <v>23.85096153846154</v>
      </c>
      <c r="C73" s="56">
        <f t="shared" si="5"/>
        <v>0</v>
      </c>
      <c r="D73" s="203">
        <f>B2</f>
        <v>154.92957746478874</v>
      </c>
      <c r="E73" s="54">
        <f t="shared" si="6"/>
        <v>6.4957371724805597</v>
      </c>
      <c r="F73" s="56">
        <f t="shared" si="16"/>
        <v>0.182</v>
      </c>
      <c r="G73" s="54">
        <f t="shared" si="8"/>
        <v>6.4957371724805597</v>
      </c>
      <c r="H73" s="56">
        <f t="shared" si="17"/>
        <v>6.4957371724805597</v>
      </c>
      <c r="I73" s="57">
        <f t="shared" si="18"/>
        <v>3.1344520848742455E-5</v>
      </c>
      <c r="J73" s="63">
        <f t="shared" si="13"/>
        <v>3.4677743065828406E-3</v>
      </c>
      <c r="K73" s="184">
        <f t="shared" si="10"/>
        <v>3.4677743065828404</v>
      </c>
      <c r="L73" s="136">
        <f t="shared" si="11"/>
        <v>1</v>
      </c>
      <c r="M73" s="55">
        <f t="shared" si="19"/>
        <v>9.2796245321150845</v>
      </c>
      <c r="N73" s="55">
        <f t="shared" si="14"/>
        <v>4.8561933709319301E-3</v>
      </c>
      <c r="O73" s="55">
        <f t="shared" si="12"/>
        <v>154.92957746478874</v>
      </c>
      <c r="P73" s="55">
        <f t="shared" si="20"/>
        <v>-6.0104423076923084</v>
      </c>
      <c r="Q73" s="55">
        <f t="shared" si="21"/>
        <v>-2.6713076923076926</v>
      </c>
    </row>
    <row r="74" spans="1:17" x14ac:dyDescent="0.2">
      <c r="A74" s="223">
        <v>0</v>
      </c>
      <c r="B74" s="222">
        <f t="shared" ref="B74:B105" si="22">VINMAX*(1-((ROW()-10)/104))</f>
        <v>23.269230769230766</v>
      </c>
      <c r="C74" s="56">
        <f t="shared" si="5"/>
        <v>0</v>
      </c>
      <c r="D74" s="203">
        <f>B2</f>
        <v>154.92957746478874</v>
      </c>
      <c r="E74" s="54">
        <f t="shared" si="6"/>
        <v>6.6581306017925748</v>
      </c>
      <c r="F74" s="56">
        <f t="shared" ref="F74:F105" si="23">I_Cout_ss+C74</f>
        <v>0.182</v>
      </c>
      <c r="G74" s="54">
        <f t="shared" si="8"/>
        <v>6.6581306017925748</v>
      </c>
      <c r="H74" s="56">
        <f t="shared" ref="H74:H105" si="24">G74-C74</f>
        <v>6.6581306017925748</v>
      </c>
      <c r="I74" s="57">
        <f t="shared" ref="I74:I105" si="25">(COUTMAX/1000000)*(B73-B74)/H74</f>
        <v>3.0580020340236909E-5</v>
      </c>
      <c r="J74" s="63">
        <f t="shared" si="13"/>
        <v>3.4983543269230775E-3</v>
      </c>
      <c r="K74" s="184">
        <f t="shared" si="10"/>
        <v>3.4983543269230775</v>
      </c>
      <c r="L74" s="136">
        <f t="shared" si="11"/>
        <v>1</v>
      </c>
      <c r="M74" s="55">
        <f t="shared" ref="M74:M105" si="26">1/COUTMAX*(E74/2-C74)*1000</f>
        <v>9.5116151454179629</v>
      </c>
      <c r="N74" s="55">
        <f t="shared" si="14"/>
        <v>4.7377496301775493E-3</v>
      </c>
      <c r="O74" s="55">
        <f t="shared" si="12"/>
        <v>154.92957746478874</v>
      </c>
      <c r="P74" s="55">
        <f t="shared" ref="P74:P105" si="27">(A74-B74)*(I_Cout_ss*$Q$2+C74)</f>
        <v>-5.8638461538461533</v>
      </c>
      <c r="Q74" s="55">
        <f t="shared" ref="Q74:Q105" si="28">(A74-B74)*(I_Cout_ss*$R$2+C74)</f>
        <v>-2.606153846153846</v>
      </c>
    </row>
    <row r="75" spans="1:17" x14ac:dyDescent="0.2">
      <c r="A75" s="223">
        <v>0</v>
      </c>
      <c r="B75" s="222">
        <f t="shared" si="22"/>
        <v>22.6875</v>
      </c>
      <c r="C75" s="56">
        <f t="shared" ref="C75:C114" si="29">IF(B75&lt;=$H$2,IF($D$2="CC", $G$2, B75/$G$2), 0)</f>
        <v>0</v>
      </c>
      <c r="D75" s="203">
        <f>B2</f>
        <v>154.92957746478874</v>
      </c>
      <c r="E75" s="54">
        <f t="shared" ref="E75:E113" si="30">MIN(D75/(B75-A75),$C$2)</f>
        <v>6.8288518992744347</v>
      </c>
      <c r="F75" s="56">
        <f t="shared" si="23"/>
        <v>0.182</v>
      </c>
      <c r="G75" s="54">
        <f t="shared" ref="G75:G110" si="31">IF($F$2="YES", F75, E75)</f>
        <v>6.8288518992744347</v>
      </c>
      <c r="H75" s="56">
        <f t="shared" si="24"/>
        <v>6.8288518992744347</v>
      </c>
      <c r="I75" s="57">
        <f t="shared" si="25"/>
        <v>2.9815519831730628E-5</v>
      </c>
      <c r="J75" s="63">
        <f t="shared" si="13"/>
        <v>3.528169846754808E-3</v>
      </c>
      <c r="K75" s="184">
        <f t="shared" ref="K75:K114" si="32">J75*1000</f>
        <v>3.5281698467548082</v>
      </c>
      <c r="L75" s="136">
        <f t="shared" ref="L75:L110" si="33">H75/G75</f>
        <v>1</v>
      </c>
      <c r="M75" s="55">
        <f t="shared" si="26"/>
        <v>9.7555027132491912</v>
      </c>
      <c r="N75" s="55">
        <f t="shared" si="14"/>
        <v>4.6193058894230549E-3</v>
      </c>
      <c r="O75" s="55">
        <f t="shared" ref="O75:O114" si="34">G75*(B75-A75)</f>
        <v>154.92957746478874</v>
      </c>
      <c r="P75" s="55">
        <f t="shared" si="27"/>
        <v>-5.7172499999999999</v>
      </c>
      <c r="Q75" s="55">
        <f t="shared" si="28"/>
        <v>-2.5409999999999999</v>
      </c>
    </row>
    <row r="76" spans="1:17" x14ac:dyDescent="0.2">
      <c r="A76" s="223">
        <v>0</v>
      </c>
      <c r="B76" s="222">
        <f t="shared" si="22"/>
        <v>22.105769230769234</v>
      </c>
      <c r="C76" s="56">
        <f t="shared" si="29"/>
        <v>0</v>
      </c>
      <c r="D76" s="203">
        <f>B2</f>
        <v>154.92957746478874</v>
      </c>
      <c r="E76" s="54">
        <f t="shared" si="30"/>
        <v>7.0085585282027081</v>
      </c>
      <c r="F76" s="56">
        <f t="shared" si="23"/>
        <v>0.182</v>
      </c>
      <c r="G76" s="54">
        <f t="shared" si="31"/>
        <v>7.0085585282027081</v>
      </c>
      <c r="H76" s="56">
        <f t="shared" si="24"/>
        <v>7.0085585282027081</v>
      </c>
      <c r="I76" s="57">
        <f t="shared" si="25"/>
        <v>2.9051019323224719E-5</v>
      </c>
      <c r="J76" s="63">
        <f t="shared" ref="J76:J110" si="35">J75+I76</f>
        <v>3.5572208660780329E-3</v>
      </c>
      <c r="K76" s="184">
        <f t="shared" si="32"/>
        <v>3.5572208660780329</v>
      </c>
      <c r="L76" s="136">
        <f t="shared" si="33"/>
        <v>1</v>
      </c>
      <c r="M76" s="55">
        <f t="shared" si="26"/>
        <v>10.012226468861012</v>
      </c>
      <c r="N76" s="55">
        <f t="shared" si="14"/>
        <v>4.5008621486686178E-3</v>
      </c>
      <c r="O76" s="55">
        <f t="shared" si="34"/>
        <v>154.92957746478874</v>
      </c>
      <c r="P76" s="55">
        <f t="shared" si="27"/>
        <v>-5.5706538461538466</v>
      </c>
      <c r="Q76" s="55">
        <f t="shared" si="28"/>
        <v>-2.4758461538461543</v>
      </c>
    </row>
    <row r="77" spans="1:17" x14ac:dyDescent="0.2">
      <c r="A77" s="223">
        <v>0</v>
      </c>
      <c r="B77" s="222">
        <f t="shared" si="22"/>
        <v>21.52403846153846</v>
      </c>
      <c r="C77" s="56">
        <f t="shared" si="29"/>
        <v>0</v>
      </c>
      <c r="D77" s="203">
        <f>B2</f>
        <v>154.92957746478874</v>
      </c>
      <c r="E77" s="54">
        <f t="shared" si="30"/>
        <v>7.1979790289649452</v>
      </c>
      <c r="F77" s="56">
        <f t="shared" si="23"/>
        <v>0.182</v>
      </c>
      <c r="G77" s="54">
        <f t="shared" si="31"/>
        <v>7.1979790289649452</v>
      </c>
      <c r="H77" s="56">
        <f t="shared" si="24"/>
        <v>7.1979790289649452</v>
      </c>
      <c r="I77" s="57">
        <f t="shared" si="25"/>
        <v>2.8286518814719142E-5</v>
      </c>
      <c r="J77" s="63">
        <f t="shared" si="35"/>
        <v>3.5855073848927521E-3</v>
      </c>
      <c r="K77" s="184">
        <f t="shared" si="32"/>
        <v>3.5855073848927521</v>
      </c>
      <c r="L77" s="136">
        <f t="shared" si="33"/>
        <v>1</v>
      </c>
      <c r="M77" s="55">
        <f t="shared" si="26"/>
        <v>10.282827184235638</v>
      </c>
      <c r="N77" s="55">
        <f t="shared" ref="N77:N114" si="36">I77*G77*(B77-A77)</f>
        <v>4.3824184079142335E-3</v>
      </c>
      <c r="O77" s="55">
        <f t="shared" si="34"/>
        <v>154.92957746478874</v>
      </c>
      <c r="P77" s="55">
        <f t="shared" si="27"/>
        <v>-5.4240576923076915</v>
      </c>
      <c r="Q77" s="55">
        <f t="shared" si="28"/>
        <v>-2.4106923076923077</v>
      </c>
    </row>
    <row r="78" spans="1:17" x14ac:dyDescent="0.2">
      <c r="A78" s="223">
        <v>0</v>
      </c>
      <c r="B78" s="222">
        <f t="shared" si="22"/>
        <v>20.942307692307693</v>
      </c>
      <c r="C78" s="56">
        <f t="shared" si="29"/>
        <v>0</v>
      </c>
      <c r="D78" s="203">
        <f>B2</f>
        <v>154.92957746478874</v>
      </c>
      <c r="E78" s="54">
        <f t="shared" si="30"/>
        <v>7.3979228908806371</v>
      </c>
      <c r="F78" s="56">
        <f t="shared" si="23"/>
        <v>0.182</v>
      </c>
      <c r="G78" s="54">
        <f t="shared" si="31"/>
        <v>7.3979228908806371</v>
      </c>
      <c r="H78" s="56">
        <f t="shared" si="24"/>
        <v>7.3979228908806371</v>
      </c>
      <c r="I78" s="57">
        <f t="shared" si="25"/>
        <v>2.7522018306212888E-5</v>
      </c>
      <c r="J78" s="63">
        <f t="shared" si="35"/>
        <v>3.6130294031989649E-3</v>
      </c>
      <c r="K78" s="184">
        <f t="shared" si="32"/>
        <v>3.6130294031989649</v>
      </c>
      <c r="L78" s="136">
        <f t="shared" si="33"/>
        <v>1</v>
      </c>
      <c r="M78" s="55">
        <f t="shared" si="26"/>
        <v>10.568461272686624</v>
      </c>
      <c r="N78" s="55">
        <f t="shared" si="36"/>
        <v>4.2639746671597435E-3</v>
      </c>
      <c r="O78" s="55">
        <f t="shared" si="34"/>
        <v>154.92957746478874</v>
      </c>
      <c r="P78" s="55">
        <f t="shared" si="27"/>
        <v>-5.2774615384615391</v>
      </c>
      <c r="Q78" s="55">
        <f t="shared" si="28"/>
        <v>-2.3455384615384616</v>
      </c>
    </row>
    <row r="79" spans="1:17" x14ac:dyDescent="0.2">
      <c r="A79" s="223">
        <v>0</v>
      </c>
      <c r="B79" s="222">
        <f t="shared" si="22"/>
        <v>20.360576923076923</v>
      </c>
      <c r="C79" s="56">
        <f t="shared" si="29"/>
        <v>0</v>
      </c>
      <c r="D79" s="203">
        <f>B2</f>
        <v>154.92957746478874</v>
      </c>
      <c r="E79" s="54">
        <f t="shared" si="30"/>
        <v>7.6092921163343696</v>
      </c>
      <c r="F79" s="56">
        <f t="shared" si="23"/>
        <v>0.182</v>
      </c>
      <c r="G79" s="54">
        <f t="shared" si="31"/>
        <v>7.6092921163343696</v>
      </c>
      <c r="H79" s="56">
        <f t="shared" si="24"/>
        <v>7.6092921163343696</v>
      </c>
      <c r="I79" s="57">
        <f t="shared" si="25"/>
        <v>2.6757517797707138E-5</v>
      </c>
      <c r="J79" s="63">
        <f t="shared" si="35"/>
        <v>3.639786920996672E-3</v>
      </c>
      <c r="K79" s="184">
        <f t="shared" si="32"/>
        <v>3.6397869209966722</v>
      </c>
      <c r="L79" s="136">
        <f t="shared" si="33"/>
        <v>1</v>
      </c>
      <c r="M79" s="55">
        <f t="shared" si="26"/>
        <v>10.870417309049099</v>
      </c>
      <c r="N79" s="55">
        <f t="shared" si="36"/>
        <v>4.1455309264053315E-3</v>
      </c>
      <c r="O79" s="55">
        <f t="shared" si="34"/>
        <v>154.92957746478874</v>
      </c>
      <c r="P79" s="55">
        <f t="shared" si="27"/>
        <v>-5.1308653846153849</v>
      </c>
      <c r="Q79" s="55">
        <f t="shared" si="28"/>
        <v>-2.2803846153846155</v>
      </c>
    </row>
    <row r="80" spans="1:17" x14ac:dyDescent="0.2">
      <c r="A80" s="223">
        <v>0</v>
      </c>
      <c r="B80" s="222">
        <f t="shared" si="22"/>
        <v>19.77884615384615</v>
      </c>
      <c r="C80" s="56">
        <f t="shared" si="29"/>
        <v>0</v>
      </c>
      <c r="D80" s="203">
        <f>B2</f>
        <v>154.92957746478874</v>
      </c>
      <c r="E80" s="54">
        <f t="shared" si="30"/>
        <v>7.8330948256383239</v>
      </c>
      <c r="F80" s="56">
        <f t="shared" si="23"/>
        <v>0.182</v>
      </c>
      <c r="G80" s="54">
        <f t="shared" si="31"/>
        <v>7.8330948256383239</v>
      </c>
      <c r="H80" s="56">
        <f t="shared" si="24"/>
        <v>7.8330948256383239</v>
      </c>
      <c r="I80" s="57">
        <f t="shared" si="25"/>
        <v>2.5993017289201371E-5</v>
      </c>
      <c r="J80" s="63">
        <f t="shared" si="35"/>
        <v>3.6657799382858736E-3</v>
      </c>
      <c r="K80" s="184">
        <f t="shared" si="32"/>
        <v>3.6657799382858736</v>
      </c>
      <c r="L80" s="136">
        <f t="shared" si="33"/>
        <v>1</v>
      </c>
      <c r="M80" s="55">
        <f t="shared" si="26"/>
        <v>11.190135465197605</v>
      </c>
      <c r="N80" s="55">
        <f t="shared" si="36"/>
        <v>4.0270871856509169E-3</v>
      </c>
      <c r="O80" s="55">
        <f t="shared" si="34"/>
        <v>154.92957746478874</v>
      </c>
      <c r="P80" s="55">
        <f t="shared" si="27"/>
        <v>-4.9842692307692298</v>
      </c>
      <c r="Q80" s="55">
        <f t="shared" si="28"/>
        <v>-2.2152307692307689</v>
      </c>
    </row>
    <row r="81" spans="1:17" x14ac:dyDescent="0.2">
      <c r="A81" s="223">
        <v>0</v>
      </c>
      <c r="B81" s="222">
        <f t="shared" si="22"/>
        <v>19.197115384615383</v>
      </c>
      <c r="C81" s="56">
        <f t="shared" si="29"/>
        <v>0</v>
      </c>
      <c r="D81" s="203">
        <f>B2</f>
        <v>154.92957746478874</v>
      </c>
      <c r="E81" s="54">
        <f t="shared" si="30"/>
        <v>8.0704613355061507</v>
      </c>
      <c r="F81" s="56">
        <f t="shared" si="23"/>
        <v>0.182</v>
      </c>
      <c r="G81" s="54">
        <f t="shared" si="31"/>
        <v>8.0704613355061507</v>
      </c>
      <c r="H81" s="56">
        <f t="shared" si="24"/>
        <v>8.0704613355061507</v>
      </c>
      <c r="I81" s="57">
        <f t="shared" si="25"/>
        <v>2.5228516780695144E-5</v>
      </c>
      <c r="J81" s="63">
        <f t="shared" si="35"/>
        <v>3.6910084550665686E-3</v>
      </c>
      <c r="K81" s="184">
        <f t="shared" si="32"/>
        <v>3.6910084550665685</v>
      </c>
      <c r="L81" s="136">
        <f t="shared" si="33"/>
        <v>1</v>
      </c>
      <c r="M81" s="55">
        <f t="shared" si="26"/>
        <v>11.529230479294501</v>
      </c>
      <c r="N81" s="55">
        <f t="shared" si="36"/>
        <v>3.9086434448964312E-3</v>
      </c>
      <c r="O81" s="55">
        <f t="shared" si="34"/>
        <v>154.92957746478874</v>
      </c>
      <c r="P81" s="55">
        <f t="shared" si="27"/>
        <v>-4.8376730769230765</v>
      </c>
      <c r="Q81" s="55">
        <f t="shared" si="28"/>
        <v>-2.1500769230769228</v>
      </c>
    </row>
    <row r="82" spans="1:17" x14ac:dyDescent="0.2">
      <c r="A82" s="223">
        <v>0</v>
      </c>
      <c r="B82" s="222">
        <f t="shared" si="22"/>
        <v>18.615384615384617</v>
      </c>
      <c r="C82" s="56">
        <f t="shared" si="29"/>
        <v>0</v>
      </c>
      <c r="D82" s="203">
        <f>B2</f>
        <v>154.92957746478874</v>
      </c>
      <c r="E82" s="54">
        <f t="shared" si="30"/>
        <v>8.3226632522407158</v>
      </c>
      <c r="F82" s="56">
        <f t="shared" si="23"/>
        <v>0.182</v>
      </c>
      <c r="G82" s="54">
        <f t="shared" si="31"/>
        <v>8.3226632522407158</v>
      </c>
      <c r="H82" s="56">
        <f t="shared" si="24"/>
        <v>8.3226632522407158</v>
      </c>
      <c r="I82" s="57">
        <f t="shared" si="25"/>
        <v>2.4464016272189235E-5</v>
      </c>
      <c r="J82" s="63">
        <f t="shared" si="35"/>
        <v>3.715472471338758E-3</v>
      </c>
      <c r="K82" s="184">
        <f t="shared" si="32"/>
        <v>3.7154724713387579</v>
      </c>
      <c r="L82" s="136">
        <f t="shared" si="33"/>
        <v>1</v>
      </c>
      <c r="M82" s="55">
        <f t="shared" si="26"/>
        <v>11.88951893177245</v>
      </c>
      <c r="N82" s="55">
        <f t="shared" si="36"/>
        <v>3.790199704141994E-3</v>
      </c>
      <c r="O82" s="55">
        <f t="shared" si="34"/>
        <v>154.92957746478871</v>
      </c>
      <c r="P82" s="55">
        <f t="shared" si="27"/>
        <v>-4.6910769230769231</v>
      </c>
      <c r="Q82" s="55">
        <f t="shared" si="28"/>
        <v>-2.0849230769230771</v>
      </c>
    </row>
    <row r="83" spans="1:17" x14ac:dyDescent="0.2">
      <c r="A83" s="223">
        <v>0</v>
      </c>
      <c r="B83" s="222">
        <f t="shared" si="22"/>
        <v>18.03365384615385</v>
      </c>
      <c r="C83" s="56">
        <f t="shared" si="29"/>
        <v>0</v>
      </c>
      <c r="D83" s="203">
        <f>B2</f>
        <v>154.92957746478874</v>
      </c>
      <c r="E83" s="54">
        <f t="shared" si="30"/>
        <v>8.5911362603775121</v>
      </c>
      <c r="F83" s="56">
        <f t="shared" si="23"/>
        <v>0.182</v>
      </c>
      <c r="G83" s="54">
        <f t="shared" si="31"/>
        <v>8.5911362603775121</v>
      </c>
      <c r="H83" s="56">
        <f t="shared" si="24"/>
        <v>8.5911362603775121</v>
      </c>
      <c r="I83" s="57">
        <f t="shared" si="25"/>
        <v>2.3699515763683326E-5</v>
      </c>
      <c r="J83" s="63">
        <f t="shared" si="35"/>
        <v>3.7391719871024414E-3</v>
      </c>
      <c r="K83" s="184">
        <f t="shared" si="32"/>
        <v>3.7391719871024414</v>
      </c>
      <c r="L83" s="136">
        <f t="shared" si="33"/>
        <v>1</v>
      </c>
      <c r="M83" s="55">
        <f t="shared" si="26"/>
        <v>12.273051800539303</v>
      </c>
      <c r="N83" s="55">
        <f t="shared" si="36"/>
        <v>3.6717559633875573E-3</v>
      </c>
      <c r="O83" s="55">
        <f t="shared" si="34"/>
        <v>154.92957746478874</v>
      </c>
      <c r="P83" s="55">
        <f t="shared" si="27"/>
        <v>-4.5444807692307707</v>
      </c>
      <c r="Q83" s="55">
        <f t="shared" si="28"/>
        <v>-2.0197692307692314</v>
      </c>
    </row>
    <row r="84" spans="1:17" x14ac:dyDescent="0.2">
      <c r="A84" s="223">
        <v>0</v>
      </c>
      <c r="B84" s="222">
        <f t="shared" si="22"/>
        <v>17.451923076923077</v>
      </c>
      <c r="C84" s="56">
        <f t="shared" si="29"/>
        <v>0</v>
      </c>
      <c r="D84" s="203">
        <f>B2</f>
        <v>154.92957746478874</v>
      </c>
      <c r="E84" s="54">
        <f t="shared" si="30"/>
        <v>8.8775074690567646</v>
      </c>
      <c r="F84" s="56">
        <f t="shared" si="23"/>
        <v>0.182</v>
      </c>
      <c r="G84" s="54">
        <f t="shared" si="31"/>
        <v>8.8775074690567646</v>
      </c>
      <c r="H84" s="56">
        <f t="shared" si="24"/>
        <v>8.8775074690567646</v>
      </c>
      <c r="I84" s="57">
        <f t="shared" si="25"/>
        <v>2.2935015255177689E-5</v>
      </c>
      <c r="J84" s="63">
        <f t="shared" si="35"/>
        <v>3.7621070023576191E-3</v>
      </c>
      <c r="K84" s="184">
        <f t="shared" si="32"/>
        <v>3.7621070023576193</v>
      </c>
      <c r="L84" s="136">
        <f t="shared" si="33"/>
        <v>1</v>
      </c>
      <c r="M84" s="55">
        <f t="shared" si="26"/>
        <v>12.682153527223949</v>
      </c>
      <c r="N84" s="55">
        <f t="shared" si="36"/>
        <v>3.5533122226331627E-3</v>
      </c>
      <c r="O84" s="55">
        <f t="shared" si="34"/>
        <v>154.92957746478874</v>
      </c>
      <c r="P84" s="55">
        <f t="shared" si="27"/>
        <v>-4.3978846153846156</v>
      </c>
      <c r="Q84" s="55">
        <f t="shared" si="28"/>
        <v>-1.9546153846153846</v>
      </c>
    </row>
    <row r="85" spans="1:17" x14ac:dyDescent="0.2">
      <c r="A85" s="223">
        <v>0</v>
      </c>
      <c r="B85" s="222">
        <f t="shared" si="22"/>
        <v>16.870192307692307</v>
      </c>
      <c r="C85" s="56">
        <f t="shared" si="29"/>
        <v>0</v>
      </c>
      <c r="D85" s="203">
        <f>B2</f>
        <v>154.92957746478874</v>
      </c>
      <c r="E85" s="54">
        <f t="shared" si="30"/>
        <v>9.1836284162656199</v>
      </c>
      <c r="F85" s="56">
        <f t="shared" si="23"/>
        <v>0.182</v>
      </c>
      <c r="G85" s="54">
        <f t="shared" si="31"/>
        <v>9.1836284162656199</v>
      </c>
      <c r="H85" s="56">
        <f t="shared" si="24"/>
        <v>9.1836284162656199</v>
      </c>
      <c r="I85" s="57">
        <f t="shared" si="25"/>
        <v>2.2170514746671624E-5</v>
      </c>
      <c r="J85" s="63">
        <f t="shared" si="35"/>
        <v>3.7842775171042908E-3</v>
      </c>
      <c r="K85" s="184">
        <f t="shared" si="32"/>
        <v>3.7842775171042908</v>
      </c>
      <c r="L85" s="136">
        <f t="shared" si="33"/>
        <v>1</v>
      </c>
      <c r="M85" s="55">
        <f t="shared" si="26"/>
        <v>13.119469166093744</v>
      </c>
      <c r="N85" s="55">
        <f t="shared" si="36"/>
        <v>3.4348684818787025E-3</v>
      </c>
      <c r="O85" s="55">
        <f t="shared" si="34"/>
        <v>154.92957746478874</v>
      </c>
      <c r="P85" s="55">
        <f t="shared" si="27"/>
        <v>-4.2512884615384614</v>
      </c>
      <c r="Q85" s="55">
        <f t="shared" si="28"/>
        <v>-1.8894615384615383</v>
      </c>
    </row>
    <row r="86" spans="1:17" x14ac:dyDescent="0.2">
      <c r="A86" s="223">
        <v>0</v>
      </c>
      <c r="B86" s="222">
        <f t="shared" si="22"/>
        <v>16.28846153846154</v>
      </c>
      <c r="C86" s="56">
        <f t="shared" si="29"/>
        <v>0</v>
      </c>
      <c r="D86" s="203">
        <f>B2</f>
        <v>154.92957746478874</v>
      </c>
      <c r="E86" s="54">
        <f t="shared" si="30"/>
        <v>9.5116151454179612</v>
      </c>
      <c r="F86" s="56">
        <f t="shared" si="23"/>
        <v>0.182</v>
      </c>
      <c r="G86" s="54">
        <f t="shared" si="31"/>
        <v>9.5116151454179612</v>
      </c>
      <c r="H86" s="56">
        <f t="shared" si="24"/>
        <v>9.5116151454179612</v>
      </c>
      <c r="I86" s="57">
        <f t="shared" si="25"/>
        <v>2.140601423816558E-5</v>
      </c>
      <c r="J86" s="63">
        <f t="shared" si="35"/>
        <v>3.8056835313424564E-3</v>
      </c>
      <c r="K86" s="184">
        <f t="shared" si="32"/>
        <v>3.8056835313424564</v>
      </c>
      <c r="L86" s="136">
        <f t="shared" si="33"/>
        <v>1</v>
      </c>
      <c r="M86" s="55">
        <f t="shared" si="26"/>
        <v>13.588021636311375</v>
      </c>
      <c r="N86" s="55">
        <f t="shared" si="36"/>
        <v>3.3164247411242445E-3</v>
      </c>
      <c r="O86" s="55">
        <f t="shared" si="34"/>
        <v>154.92957746478874</v>
      </c>
      <c r="P86" s="55">
        <f t="shared" si="27"/>
        <v>-4.1046923076923081</v>
      </c>
      <c r="Q86" s="55">
        <f t="shared" si="28"/>
        <v>-1.8243076923076926</v>
      </c>
    </row>
    <row r="87" spans="1:17" x14ac:dyDescent="0.2">
      <c r="A87" s="223">
        <v>0</v>
      </c>
      <c r="B87" s="222">
        <f t="shared" si="22"/>
        <v>15.706730769230766</v>
      </c>
      <c r="C87" s="56">
        <f t="shared" si="29"/>
        <v>0</v>
      </c>
      <c r="D87" s="203">
        <f>B2</f>
        <v>154.92957746478874</v>
      </c>
      <c r="E87" s="54">
        <f t="shared" si="30"/>
        <v>9.8638971878408519</v>
      </c>
      <c r="F87" s="56">
        <f t="shared" si="23"/>
        <v>0.182</v>
      </c>
      <c r="G87" s="54">
        <f t="shared" si="31"/>
        <v>9.8638971878408519</v>
      </c>
      <c r="H87" s="56">
        <f t="shared" si="24"/>
        <v>9.8638971878408519</v>
      </c>
      <c r="I87" s="57">
        <f t="shared" si="25"/>
        <v>2.0641513729659915E-5</v>
      </c>
      <c r="J87" s="63">
        <f t="shared" si="35"/>
        <v>3.8263250450721164E-3</v>
      </c>
      <c r="K87" s="184">
        <f t="shared" si="32"/>
        <v>3.8263250450721165</v>
      </c>
      <c r="L87" s="136">
        <f t="shared" si="33"/>
        <v>1</v>
      </c>
      <c r="M87" s="55">
        <f t="shared" si="26"/>
        <v>14.091281696915503</v>
      </c>
      <c r="N87" s="55">
        <f t="shared" si="36"/>
        <v>3.197981000369846E-3</v>
      </c>
      <c r="O87" s="55">
        <f t="shared" si="34"/>
        <v>154.92957746478874</v>
      </c>
      <c r="P87" s="55">
        <f t="shared" si="27"/>
        <v>-3.958096153846153</v>
      </c>
      <c r="Q87" s="55">
        <f t="shared" si="28"/>
        <v>-1.7591538461538458</v>
      </c>
    </row>
    <row r="88" spans="1:17" x14ac:dyDescent="0.2">
      <c r="A88" s="223">
        <v>0</v>
      </c>
      <c r="B88" s="222">
        <f t="shared" si="22"/>
        <v>15.125</v>
      </c>
      <c r="C88" s="56">
        <f t="shared" si="29"/>
        <v>0</v>
      </c>
      <c r="D88" s="203">
        <f>B2</f>
        <v>154.92957746478874</v>
      </c>
      <c r="E88" s="54">
        <f t="shared" si="30"/>
        <v>10.243277848911651</v>
      </c>
      <c r="F88" s="56">
        <f t="shared" si="23"/>
        <v>0.182</v>
      </c>
      <c r="G88" s="54">
        <f t="shared" si="31"/>
        <v>10.243277848911651</v>
      </c>
      <c r="H88" s="56">
        <f t="shared" si="24"/>
        <v>10.243277848911651</v>
      </c>
      <c r="I88" s="57">
        <f t="shared" si="25"/>
        <v>1.9877013221153752E-5</v>
      </c>
      <c r="J88" s="63">
        <f t="shared" si="35"/>
        <v>3.8462020582932703E-3</v>
      </c>
      <c r="K88" s="184">
        <f t="shared" si="32"/>
        <v>3.8462020582932706</v>
      </c>
      <c r="L88" s="136">
        <f t="shared" si="33"/>
        <v>1</v>
      </c>
      <c r="M88" s="55">
        <f t="shared" si="26"/>
        <v>14.633254069873788</v>
      </c>
      <c r="N88" s="55">
        <f t="shared" si="36"/>
        <v>3.0795372596153698E-3</v>
      </c>
      <c r="O88" s="55">
        <f t="shared" si="34"/>
        <v>154.92957746478874</v>
      </c>
      <c r="P88" s="55">
        <f t="shared" si="27"/>
        <v>-3.8115000000000001</v>
      </c>
      <c r="Q88" s="55">
        <f t="shared" si="28"/>
        <v>-1.694</v>
      </c>
    </row>
    <row r="89" spans="1:17" x14ac:dyDescent="0.2">
      <c r="A89" s="223">
        <v>0</v>
      </c>
      <c r="B89" s="222">
        <f t="shared" si="22"/>
        <v>14.543269230769234</v>
      </c>
      <c r="C89" s="56">
        <f t="shared" si="29"/>
        <v>0</v>
      </c>
      <c r="D89" s="203">
        <f>B2</f>
        <v>154.92957746478874</v>
      </c>
      <c r="E89" s="54">
        <f t="shared" si="30"/>
        <v>10.653008962868116</v>
      </c>
      <c r="F89" s="56">
        <f t="shared" si="23"/>
        <v>0.182</v>
      </c>
      <c r="G89" s="54">
        <f t="shared" si="31"/>
        <v>10.653008962868116</v>
      </c>
      <c r="H89" s="56">
        <f t="shared" si="24"/>
        <v>10.653008962868116</v>
      </c>
      <c r="I89" s="57">
        <f t="shared" si="25"/>
        <v>1.9112512712647843E-5</v>
      </c>
      <c r="J89" s="63">
        <f t="shared" si="35"/>
        <v>3.8653145710059182E-3</v>
      </c>
      <c r="K89" s="184">
        <f t="shared" si="32"/>
        <v>3.8653145710059182</v>
      </c>
      <c r="L89" s="136">
        <f t="shared" si="33"/>
        <v>1</v>
      </c>
      <c r="M89" s="55">
        <f t="shared" si="26"/>
        <v>15.218584232668737</v>
      </c>
      <c r="N89" s="55">
        <f t="shared" si="36"/>
        <v>2.9610935188609331E-3</v>
      </c>
      <c r="O89" s="55">
        <f t="shared" si="34"/>
        <v>154.92957746478874</v>
      </c>
      <c r="P89" s="55">
        <f t="shared" si="27"/>
        <v>-3.6649038461538468</v>
      </c>
      <c r="Q89" s="55">
        <f t="shared" si="28"/>
        <v>-1.6288461538461543</v>
      </c>
    </row>
    <row r="90" spans="1:17" x14ac:dyDescent="0.2">
      <c r="A90" s="223">
        <v>0</v>
      </c>
      <c r="B90" s="222">
        <f t="shared" si="22"/>
        <v>13.961538461538458</v>
      </c>
      <c r="C90" s="56">
        <f t="shared" si="29"/>
        <v>0</v>
      </c>
      <c r="D90" s="203">
        <f>B2</f>
        <v>154.92957746478874</v>
      </c>
      <c r="E90" s="54">
        <f t="shared" si="30"/>
        <v>11.09688433632096</v>
      </c>
      <c r="F90" s="56">
        <f t="shared" si="23"/>
        <v>0.182</v>
      </c>
      <c r="G90" s="54">
        <f t="shared" si="31"/>
        <v>11.09688433632096</v>
      </c>
      <c r="H90" s="56">
        <f t="shared" si="24"/>
        <v>11.09688433632096</v>
      </c>
      <c r="I90" s="57">
        <f t="shared" si="25"/>
        <v>1.8348012204142198E-5</v>
      </c>
      <c r="J90" s="63">
        <f t="shared" si="35"/>
        <v>3.8836625832100605E-3</v>
      </c>
      <c r="K90" s="184">
        <f t="shared" si="32"/>
        <v>3.8836625832100604</v>
      </c>
      <c r="L90" s="136">
        <f t="shared" si="33"/>
        <v>1</v>
      </c>
      <c r="M90" s="55">
        <f t="shared" si="26"/>
        <v>15.852691909029943</v>
      </c>
      <c r="N90" s="55">
        <f t="shared" si="36"/>
        <v>2.842649778106538E-3</v>
      </c>
      <c r="O90" s="55">
        <f t="shared" si="34"/>
        <v>154.92957746478874</v>
      </c>
      <c r="P90" s="55">
        <f t="shared" si="27"/>
        <v>-3.5183076923076917</v>
      </c>
      <c r="Q90" s="55">
        <f t="shared" si="28"/>
        <v>-1.5636923076923073</v>
      </c>
    </row>
    <row r="91" spans="1:17" x14ac:dyDescent="0.2">
      <c r="A91" s="223">
        <v>0</v>
      </c>
      <c r="B91" s="222">
        <f t="shared" si="22"/>
        <v>13.379807692307692</v>
      </c>
      <c r="C91" s="56">
        <f t="shared" si="29"/>
        <v>0</v>
      </c>
      <c r="D91" s="203">
        <f>B2</f>
        <v>154.92957746478874</v>
      </c>
      <c r="E91" s="54">
        <f t="shared" si="30"/>
        <v>11.579357568334911</v>
      </c>
      <c r="F91" s="56">
        <f t="shared" si="23"/>
        <v>0.182</v>
      </c>
      <c r="G91" s="54">
        <f t="shared" si="31"/>
        <v>11.579357568334911</v>
      </c>
      <c r="H91" s="56">
        <f t="shared" si="24"/>
        <v>11.579357568334911</v>
      </c>
      <c r="I91" s="57">
        <f t="shared" si="25"/>
        <v>1.7583511695636008E-5</v>
      </c>
      <c r="J91" s="63">
        <f t="shared" si="35"/>
        <v>3.9012460949056967E-3</v>
      </c>
      <c r="K91" s="184">
        <f t="shared" si="32"/>
        <v>3.9012460949056966</v>
      </c>
      <c r="L91" s="136">
        <f t="shared" si="33"/>
        <v>1</v>
      </c>
      <c r="M91" s="55">
        <f t="shared" si="26"/>
        <v>16.541939383335588</v>
      </c>
      <c r="N91" s="55">
        <f t="shared" si="36"/>
        <v>2.7242060373520575E-3</v>
      </c>
      <c r="O91" s="55">
        <f t="shared" si="34"/>
        <v>154.92957746478874</v>
      </c>
      <c r="P91" s="55">
        <f t="shared" si="27"/>
        <v>-3.3717115384615384</v>
      </c>
      <c r="Q91" s="55">
        <f t="shared" si="28"/>
        <v>-1.4985384615384616</v>
      </c>
    </row>
    <row r="92" spans="1:17" x14ac:dyDescent="0.2">
      <c r="A92" s="223">
        <v>0</v>
      </c>
      <c r="B92" s="222">
        <f t="shared" si="22"/>
        <v>12.798076923076925</v>
      </c>
      <c r="C92" s="56">
        <f t="shared" si="29"/>
        <v>0</v>
      </c>
      <c r="D92" s="203">
        <f>B2</f>
        <v>154.92957746478874</v>
      </c>
      <c r="E92" s="54">
        <f t="shared" si="30"/>
        <v>12.105692003259223</v>
      </c>
      <c r="F92" s="56">
        <f t="shared" si="23"/>
        <v>0.182</v>
      </c>
      <c r="G92" s="54">
        <f t="shared" si="31"/>
        <v>12.105692003259223</v>
      </c>
      <c r="H92" s="56">
        <f t="shared" si="24"/>
        <v>12.105692003259223</v>
      </c>
      <c r="I92" s="57">
        <f t="shared" si="25"/>
        <v>1.6819011187130099E-5</v>
      </c>
      <c r="J92" s="63">
        <f t="shared" si="35"/>
        <v>3.9180651060928265E-3</v>
      </c>
      <c r="K92" s="184">
        <f t="shared" si="32"/>
        <v>3.9180651060928264</v>
      </c>
      <c r="L92" s="136">
        <f t="shared" si="33"/>
        <v>1</v>
      </c>
      <c r="M92" s="55">
        <f t="shared" si="26"/>
        <v>17.29384571894175</v>
      </c>
      <c r="N92" s="55">
        <f t="shared" si="36"/>
        <v>2.6057622965976212E-3</v>
      </c>
      <c r="O92" s="55">
        <f t="shared" si="34"/>
        <v>154.92957746478874</v>
      </c>
      <c r="P92" s="55">
        <f t="shared" si="27"/>
        <v>-3.2251153846153851</v>
      </c>
      <c r="Q92" s="55">
        <f t="shared" si="28"/>
        <v>-1.4333846153846157</v>
      </c>
    </row>
    <row r="93" spans="1:17" x14ac:dyDescent="0.2">
      <c r="A93" s="223">
        <v>0</v>
      </c>
      <c r="B93" s="222">
        <f t="shared" si="22"/>
        <v>12.216346153846152</v>
      </c>
      <c r="C93" s="56">
        <f t="shared" si="29"/>
        <v>0</v>
      </c>
      <c r="D93" s="203">
        <f>B2</f>
        <v>154.92957746478874</v>
      </c>
      <c r="E93" s="54">
        <f t="shared" si="30"/>
        <v>12.682153527223953</v>
      </c>
      <c r="F93" s="56">
        <f t="shared" si="23"/>
        <v>0.182</v>
      </c>
      <c r="G93" s="54">
        <f t="shared" si="31"/>
        <v>12.682153527223953</v>
      </c>
      <c r="H93" s="56">
        <f t="shared" si="24"/>
        <v>12.682153527223953</v>
      </c>
      <c r="I93" s="57">
        <f t="shared" si="25"/>
        <v>1.6054510678624377E-5</v>
      </c>
      <c r="J93" s="63">
        <f t="shared" si="35"/>
        <v>3.9341196167714506E-3</v>
      </c>
      <c r="K93" s="184">
        <f t="shared" si="32"/>
        <v>3.9341196167714507</v>
      </c>
      <c r="L93" s="136">
        <f t="shared" si="33"/>
        <v>1</v>
      </c>
      <c r="M93" s="55">
        <f t="shared" si="26"/>
        <v>18.117362181748504</v>
      </c>
      <c r="N93" s="55">
        <f t="shared" si="36"/>
        <v>2.4873185558432136E-3</v>
      </c>
      <c r="O93" s="55">
        <f t="shared" si="34"/>
        <v>154.92957746478874</v>
      </c>
      <c r="P93" s="55">
        <f t="shared" si="27"/>
        <v>-3.0785192307692304</v>
      </c>
      <c r="Q93" s="55">
        <f t="shared" si="28"/>
        <v>-1.3682307692307689</v>
      </c>
    </row>
    <row r="94" spans="1:17" x14ac:dyDescent="0.2">
      <c r="A94" s="223">
        <v>0</v>
      </c>
      <c r="B94" s="222">
        <f t="shared" si="22"/>
        <v>11.634615384615383</v>
      </c>
      <c r="C94" s="56">
        <f t="shared" si="29"/>
        <v>0</v>
      </c>
      <c r="D94" s="203">
        <f>B2</f>
        <v>154.92957746478874</v>
      </c>
      <c r="E94" s="54">
        <f t="shared" si="30"/>
        <v>13.31626120358515</v>
      </c>
      <c r="F94" s="56">
        <f t="shared" si="23"/>
        <v>0.182</v>
      </c>
      <c r="G94" s="54">
        <f t="shared" si="31"/>
        <v>13.31626120358515</v>
      </c>
      <c r="H94" s="56">
        <f t="shared" si="24"/>
        <v>13.31626120358515</v>
      </c>
      <c r="I94" s="57">
        <f t="shared" si="25"/>
        <v>1.5290010170118316E-5</v>
      </c>
      <c r="J94" s="63">
        <f t="shared" si="35"/>
        <v>3.9494096269415691E-3</v>
      </c>
      <c r="K94" s="184">
        <f t="shared" si="32"/>
        <v>3.9494096269415691</v>
      </c>
      <c r="L94" s="136">
        <f t="shared" si="33"/>
        <v>1</v>
      </c>
      <c r="M94" s="55">
        <f t="shared" si="26"/>
        <v>19.023230290835926</v>
      </c>
      <c r="N94" s="55">
        <f t="shared" si="36"/>
        <v>2.3688748150887534E-3</v>
      </c>
      <c r="O94" s="55">
        <f t="shared" si="34"/>
        <v>154.92957746478874</v>
      </c>
      <c r="P94" s="55">
        <f t="shared" si="27"/>
        <v>-2.9319230769230766</v>
      </c>
      <c r="Q94" s="55">
        <f t="shared" si="28"/>
        <v>-1.303076923076923</v>
      </c>
    </row>
    <row r="95" spans="1:17" x14ac:dyDescent="0.2">
      <c r="A95" s="223">
        <v>0</v>
      </c>
      <c r="B95" s="222">
        <f t="shared" si="22"/>
        <v>11.052884615384617</v>
      </c>
      <c r="C95" s="56">
        <f t="shared" si="29"/>
        <v>0</v>
      </c>
      <c r="D95" s="203">
        <f>B2</f>
        <v>154.92957746478874</v>
      </c>
      <c r="E95" s="54">
        <f t="shared" si="30"/>
        <v>14.017117056405416</v>
      </c>
      <c r="F95" s="56">
        <f t="shared" si="23"/>
        <v>0.182</v>
      </c>
      <c r="G95" s="54">
        <f t="shared" si="31"/>
        <v>14.017117056405416</v>
      </c>
      <c r="H95" s="56">
        <f t="shared" si="24"/>
        <v>14.017117056405416</v>
      </c>
      <c r="I95" s="57">
        <f t="shared" si="25"/>
        <v>1.4525509661612359E-5</v>
      </c>
      <c r="J95" s="63">
        <f t="shared" si="35"/>
        <v>3.9639351366031811E-3</v>
      </c>
      <c r="K95" s="184">
        <f t="shared" si="32"/>
        <v>3.963935136603181</v>
      </c>
      <c r="L95" s="136">
        <f t="shared" si="33"/>
        <v>1</v>
      </c>
      <c r="M95" s="55">
        <f t="shared" si="26"/>
        <v>20.024452937722025</v>
      </c>
      <c r="N95" s="55">
        <f t="shared" si="36"/>
        <v>2.2504310743343089E-3</v>
      </c>
      <c r="O95" s="55">
        <f t="shared" si="34"/>
        <v>154.92957746478874</v>
      </c>
      <c r="P95" s="55">
        <f t="shared" si="27"/>
        <v>-2.7853269230769233</v>
      </c>
      <c r="Q95" s="55">
        <f t="shared" si="28"/>
        <v>-1.2379230769230771</v>
      </c>
    </row>
    <row r="96" spans="1:17" x14ac:dyDescent="0.2">
      <c r="A96" s="223">
        <v>0</v>
      </c>
      <c r="B96" s="222">
        <f t="shared" si="22"/>
        <v>10.471153846153848</v>
      </c>
      <c r="C96" s="56">
        <f t="shared" si="29"/>
        <v>0</v>
      </c>
      <c r="D96" s="203">
        <f>B2</f>
        <v>154.92957746478874</v>
      </c>
      <c r="E96" s="54">
        <f t="shared" si="30"/>
        <v>14.795845781761273</v>
      </c>
      <c r="F96" s="56">
        <f t="shared" si="23"/>
        <v>0.182</v>
      </c>
      <c r="G96" s="54">
        <f t="shared" si="31"/>
        <v>14.795845781761273</v>
      </c>
      <c r="H96" s="56">
        <f t="shared" si="24"/>
        <v>14.795845781761273</v>
      </c>
      <c r="I96" s="57">
        <f t="shared" si="25"/>
        <v>1.3761009153106488E-5</v>
      </c>
      <c r="J96" s="63">
        <f t="shared" si="35"/>
        <v>3.9776961457562874E-3</v>
      </c>
      <c r="K96" s="184">
        <f t="shared" si="32"/>
        <v>3.9776961457562874</v>
      </c>
      <c r="L96" s="136">
        <f t="shared" si="33"/>
        <v>1</v>
      </c>
      <c r="M96" s="55">
        <f t="shared" si="26"/>
        <v>21.136922545373245</v>
      </c>
      <c r="N96" s="55">
        <f t="shared" si="36"/>
        <v>2.1319873335798787E-3</v>
      </c>
      <c r="O96" s="55">
        <f t="shared" si="34"/>
        <v>154.92957746478874</v>
      </c>
      <c r="P96" s="55">
        <f t="shared" si="27"/>
        <v>-2.63873076923077</v>
      </c>
      <c r="Q96" s="55">
        <f t="shared" si="28"/>
        <v>-1.172769230769231</v>
      </c>
    </row>
    <row r="97" spans="1:17" x14ac:dyDescent="0.2">
      <c r="A97" s="223">
        <v>0</v>
      </c>
      <c r="B97" s="222">
        <f t="shared" si="22"/>
        <v>9.8894230769230749</v>
      </c>
      <c r="C97" s="56">
        <f t="shared" si="29"/>
        <v>0</v>
      </c>
      <c r="D97" s="203">
        <f>B2</f>
        <v>154.92957746478874</v>
      </c>
      <c r="E97" s="54">
        <f t="shared" si="30"/>
        <v>15.666189651276648</v>
      </c>
      <c r="F97" s="56">
        <f t="shared" si="23"/>
        <v>0.182</v>
      </c>
      <c r="G97" s="54">
        <f t="shared" si="31"/>
        <v>15.666189651276648</v>
      </c>
      <c r="H97" s="56">
        <f t="shared" si="24"/>
        <v>15.666189651276648</v>
      </c>
      <c r="I97" s="57">
        <f t="shared" si="25"/>
        <v>1.2996508644600686E-5</v>
      </c>
      <c r="J97" s="63">
        <f t="shared" si="35"/>
        <v>3.9906926544008882E-3</v>
      </c>
      <c r="K97" s="184">
        <f t="shared" si="32"/>
        <v>3.9906926544008883</v>
      </c>
      <c r="L97" s="136">
        <f t="shared" si="33"/>
        <v>1</v>
      </c>
      <c r="M97" s="55">
        <f t="shared" si="26"/>
        <v>22.380270930395209</v>
      </c>
      <c r="N97" s="55">
        <f t="shared" si="36"/>
        <v>2.0135435928254584E-3</v>
      </c>
      <c r="O97" s="55">
        <f t="shared" si="34"/>
        <v>154.92957746478874</v>
      </c>
      <c r="P97" s="55">
        <f t="shared" si="27"/>
        <v>-2.4921346153846149</v>
      </c>
      <c r="Q97" s="55">
        <f t="shared" si="28"/>
        <v>-1.1076153846153844</v>
      </c>
    </row>
    <row r="98" spans="1:17" x14ac:dyDescent="0.2">
      <c r="A98" s="223">
        <v>0</v>
      </c>
      <c r="B98" s="222">
        <f t="shared" si="22"/>
        <v>9.3076923076923084</v>
      </c>
      <c r="C98" s="56">
        <f t="shared" si="29"/>
        <v>0</v>
      </c>
      <c r="D98" s="203">
        <f>B2</f>
        <v>154.92957746478874</v>
      </c>
      <c r="E98" s="54">
        <f t="shared" si="30"/>
        <v>16.645326504481432</v>
      </c>
      <c r="F98" s="56">
        <f t="shared" si="23"/>
        <v>0.182</v>
      </c>
      <c r="G98" s="54">
        <f t="shared" si="31"/>
        <v>16.645326504481432</v>
      </c>
      <c r="H98" s="56">
        <f t="shared" si="24"/>
        <v>16.645326504481432</v>
      </c>
      <c r="I98" s="57">
        <f t="shared" si="25"/>
        <v>1.2232008136094618E-5</v>
      </c>
      <c r="J98" s="63">
        <f t="shared" si="35"/>
        <v>4.0029246625369825E-3</v>
      </c>
      <c r="K98" s="184">
        <f t="shared" si="32"/>
        <v>4.0029246625369828</v>
      </c>
      <c r="L98" s="136">
        <f t="shared" si="33"/>
        <v>1</v>
      </c>
      <c r="M98" s="55">
        <f t="shared" si="26"/>
        <v>23.7790378635449</v>
      </c>
      <c r="N98" s="55">
        <f t="shared" si="36"/>
        <v>1.895099852070997E-3</v>
      </c>
      <c r="O98" s="55">
        <f t="shared" si="34"/>
        <v>154.92957746478871</v>
      </c>
      <c r="P98" s="55">
        <f t="shared" si="27"/>
        <v>-2.3455384615384616</v>
      </c>
      <c r="Q98" s="55">
        <f t="shared" si="28"/>
        <v>-1.0424615384615386</v>
      </c>
    </row>
    <row r="99" spans="1:17" x14ac:dyDescent="0.2">
      <c r="A99" s="223">
        <v>0</v>
      </c>
      <c r="B99" s="222">
        <f t="shared" si="22"/>
        <v>8.7259615384615419</v>
      </c>
      <c r="C99" s="56">
        <f t="shared" si="29"/>
        <v>0</v>
      </c>
      <c r="D99" s="203">
        <f>B2</f>
        <v>154.92957746478874</v>
      </c>
      <c r="E99" s="54">
        <f t="shared" si="30"/>
        <v>17.755014938113522</v>
      </c>
      <c r="F99" s="56">
        <f t="shared" si="23"/>
        <v>0.182</v>
      </c>
      <c r="G99" s="54">
        <f t="shared" si="31"/>
        <v>17.755014938113522</v>
      </c>
      <c r="H99" s="56">
        <f t="shared" si="24"/>
        <v>17.755014938113522</v>
      </c>
      <c r="I99" s="57">
        <f t="shared" si="25"/>
        <v>1.1467507627588707E-5</v>
      </c>
      <c r="J99" s="63">
        <f t="shared" si="35"/>
        <v>4.0143921701645711E-3</v>
      </c>
      <c r="K99" s="184">
        <f t="shared" si="32"/>
        <v>4.0143921701645713</v>
      </c>
      <c r="L99" s="136">
        <f t="shared" si="33"/>
        <v>1</v>
      </c>
      <c r="M99" s="55">
        <f t="shared" si="26"/>
        <v>25.364307054447888</v>
      </c>
      <c r="N99" s="55">
        <f t="shared" si="36"/>
        <v>1.7766561113165603E-3</v>
      </c>
      <c r="O99" s="55">
        <f t="shared" si="34"/>
        <v>154.92957746478874</v>
      </c>
      <c r="P99" s="55">
        <f t="shared" si="27"/>
        <v>-2.1989423076923087</v>
      </c>
      <c r="Q99" s="55">
        <f t="shared" si="28"/>
        <v>-0.97730769230769277</v>
      </c>
    </row>
    <row r="100" spans="1:17" x14ac:dyDescent="0.2">
      <c r="A100" s="223">
        <v>0</v>
      </c>
      <c r="B100" s="222">
        <f t="shared" si="22"/>
        <v>8.1442307692307665</v>
      </c>
      <c r="C100" s="56">
        <f t="shared" si="29"/>
        <v>0</v>
      </c>
      <c r="D100" s="203">
        <f>B2</f>
        <v>154.92957746478874</v>
      </c>
      <c r="E100" s="54">
        <f t="shared" si="30"/>
        <v>19.023230290835933</v>
      </c>
      <c r="F100" s="56">
        <f t="shared" si="23"/>
        <v>0.182</v>
      </c>
      <c r="G100" s="54">
        <f t="shared" si="31"/>
        <v>19.023230290835933</v>
      </c>
      <c r="H100" s="56">
        <f t="shared" si="24"/>
        <v>19.023230290835933</v>
      </c>
      <c r="I100" s="57">
        <f t="shared" si="25"/>
        <v>1.0703007119082949E-5</v>
      </c>
      <c r="J100" s="63">
        <f t="shared" si="35"/>
        <v>4.0250951772836541E-3</v>
      </c>
      <c r="K100" s="184">
        <f t="shared" si="32"/>
        <v>4.0250951772836538</v>
      </c>
      <c r="L100" s="136">
        <f t="shared" si="33"/>
        <v>1</v>
      </c>
      <c r="M100" s="55">
        <f t="shared" si="26"/>
        <v>27.17604327262276</v>
      </c>
      <c r="N100" s="55">
        <f t="shared" si="36"/>
        <v>1.6582123705621472E-3</v>
      </c>
      <c r="O100" s="55">
        <f t="shared" si="34"/>
        <v>154.92957746478874</v>
      </c>
      <c r="P100" s="55">
        <f t="shared" si="27"/>
        <v>-2.0523461538461532</v>
      </c>
      <c r="Q100" s="55">
        <f t="shared" si="28"/>
        <v>-0.91215384615384587</v>
      </c>
    </row>
    <row r="101" spans="1:17" x14ac:dyDescent="0.2">
      <c r="A101" s="223">
        <v>0</v>
      </c>
      <c r="B101" s="222">
        <f t="shared" si="22"/>
        <v>7.5625</v>
      </c>
      <c r="C101" s="56">
        <f t="shared" si="29"/>
        <v>0</v>
      </c>
      <c r="D101" s="203">
        <f>B2</f>
        <v>154.92957746478874</v>
      </c>
      <c r="E101" s="54">
        <f t="shared" si="30"/>
        <v>20.486555697823302</v>
      </c>
      <c r="F101" s="56">
        <f t="shared" si="23"/>
        <v>0.182</v>
      </c>
      <c r="G101" s="54">
        <f t="shared" si="31"/>
        <v>20.486555697823302</v>
      </c>
      <c r="H101" s="56">
        <f t="shared" si="24"/>
        <v>20.486555697823302</v>
      </c>
      <c r="I101" s="57">
        <f t="shared" si="25"/>
        <v>9.9385066105768759E-6</v>
      </c>
      <c r="J101" s="63">
        <f t="shared" si="35"/>
        <v>4.0350336838942307E-3</v>
      </c>
      <c r="K101" s="184">
        <f t="shared" si="32"/>
        <v>4.0350336838942304</v>
      </c>
      <c r="L101" s="136">
        <f t="shared" si="33"/>
        <v>1</v>
      </c>
      <c r="M101" s="55">
        <f t="shared" si="26"/>
        <v>29.266508139747575</v>
      </c>
      <c r="N101" s="55">
        <f t="shared" si="36"/>
        <v>1.5397686298076849E-3</v>
      </c>
      <c r="O101" s="55">
        <f t="shared" si="34"/>
        <v>154.92957746478874</v>
      </c>
      <c r="P101" s="55">
        <f t="shared" si="27"/>
        <v>-1.9057500000000001</v>
      </c>
      <c r="Q101" s="55">
        <f t="shared" si="28"/>
        <v>-0.84699999999999998</v>
      </c>
    </row>
    <row r="102" spans="1:17" x14ac:dyDescent="0.2">
      <c r="A102" s="223">
        <v>0</v>
      </c>
      <c r="B102" s="222">
        <f t="shared" si="22"/>
        <v>6.9807692307692326</v>
      </c>
      <c r="C102" s="56">
        <f t="shared" si="29"/>
        <v>0</v>
      </c>
      <c r="D102" s="203">
        <f>B2</f>
        <v>154.92957746478874</v>
      </c>
      <c r="E102" s="54">
        <f t="shared" si="30"/>
        <v>22.193768672641905</v>
      </c>
      <c r="F102" s="56">
        <f t="shared" si="23"/>
        <v>0.182</v>
      </c>
      <c r="G102" s="54">
        <f t="shared" si="31"/>
        <v>22.193768672641905</v>
      </c>
      <c r="H102" s="56">
        <f t="shared" si="24"/>
        <v>22.193768672641905</v>
      </c>
      <c r="I102" s="57">
        <f t="shared" si="25"/>
        <v>9.1740061020709789E-6</v>
      </c>
      <c r="J102" s="63">
        <f t="shared" si="35"/>
        <v>4.0442076899963016E-3</v>
      </c>
      <c r="K102" s="184">
        <f t="shared" si="32"/>
        <v>4.044207689996302</v>
      </c>
      <c r="L102" s="136">
        <f t="shared" si="33"/>
        <v>1</v>
      </c>
      <c r="M102" s="55">
        <f t="shared" si="26"/>
        <v>31.705383818059868</v>
      </c>
      <c r="N102" s="55">
        <f t="shared" si="36"/>
        <v>1.4213248890532501E-3</v>
      </c>
      <c r="O102" s="55">
        <f t="shared" si="34"/>
        <v>154.92957746478874</v>
      </c>
      <c r="P102" s="55">
        <f t="shared" si="27"/>
        <v>-1.7591538461538467</v>
      </c>
      <c r="Q102" s="55">
        <f t="shared" si="28"/>
        <v>-0.78184615384615408</v>
      </c>
    </row>
    <row r="103" spans="1:17" x14ac:dyDescent="0.2">
      <c r="A103" s="223">
        <v>0</v>
      </c>
      <c r="B103" s="222">
        <f t="shared" si="22"/>
        <v>6.399038461538459</v>
      </c>
      <c r="C103" s="56">
        <f t="shared" si="29"/>
        <v>0</v>
      </c>
      <c r="D103" s="203">
        <f>B2</f>
        <v>154.92957746478874</v>
      </c>
      <c r="E103" s="54">
        <f t="shared" si="30"/>
        <v>24.211384006518461</v>
      </c>
      <c r="F103" s="56">
        <f t="shared" si="23"/>
        <v>0.182</v>
      </c>
      <c r="G103" s="54">
        <f t="shared" si="31"/>
        <v>24.211384006518461</v>
      </c>
      <c r="H103" s="56">
        <f t="shared" si="24"/>
        <v>24.211384006518461</v>
      </c>
      <c r="I103" s="57">
        <f t="shared" si="25"/>
        <v>8.409505593565148E-6</v>
      </c>
      <c r="J103" s="63">
        <f t="shared" si="35"/>
        <v>4.0526171955898669E-3</v>
      </c>
      <c r="K103" s="184">
        <f t="shared" si="32"/>
        <v>4.0526171955898667</v>
      </c>
      <c r="L103" s="136">
        <f t="shared" si="33"/>
        <v>1</v>
      </c>
      <c r="M103" s="55">
        <f t="shared" si="26"/>
        <v>34.587691437883521</v>
      </c>
      <c r="N103" s="55">
        <f t="shared" si="36"/>
        <v>1.3028811482988258E-3</v>
      </c>
      <c r="O103" s="55">
        <f t="shared" si="34"/>
        <v>154.92957746478874</v>
      </c>
      <c r="P103" s="55">
        <f t="shared" si="27"/>
        <v>-1.6125576923076916</v>
      </c>
      <c r="Q103" s="55">
        <f t="shared" si="28"/>
        <v>-0.71669230769230741</v>
      </c>
    </row>
    <row r="104" spans="1:17" x14ac:dyDescent="0.2">
      <c r="A104" s="223">
        <v>0</v>
      </c>
      <c r="B104" s="222">
        <f t="shared" si="22"/>
        <v>5.8173076923076916</v>
      </c>
      <c r="C104" s="56">
        <f t="shared" si="29"/>
        <v>0</v>
      </c>
      <c r="D104" s="203">
        <f>B2</f>
        <v>154.92957746478874</v>
      </c>
      <c r="E104" s="54">
        <f t="shared" si="30"/>
        <v>25</v>
      </c>
      <c r="F104" s="56">
        <f t="shared" si="23"/>
        <v>0.182</v>
      </c>
      <c r="G104" s="54">
        <f t="shared" si="31"/>
        <v>25</v>
      </c>
      <c r="H104" s="56">
        <f t="shared" si="24"/>
        <v>25</v>
      </c>
      <c r="I104" s="57">
        <f t="shared" si="25"/>
        <v>8.1442307692307428E-6</v>
      </c>
      <c r="J104" s="63">
        <f t="shared" si="35"/>
        <v>4.0607614263590977E-3</v>
      </c>
      <c r="K104" s="184">
        <f t="shared" si="32"/>
        <v>4.0607614263590976</v>
      </c>
      <c r="L104" s="136">
        <f t="shared" si="33"/>
        <v>1</v>
      </c>
      <c r="M104" s="55">
        <f t="shared" si="26"/>
        <v>35.714285714285715</v>
      </c>
      <c r="N104" s="55">
        <f t="shared" si="36"/>
        <v>1.1844374075443748E-3</v>
      </c>
      <c r="O104" s="55">
        <f t="shared" si="34"/>
        <v>145.43269230769229</v>
      </c>
      <c r="P104" s="55">
        <f t="shared" si="27"/>
        <v>-1.4659615384615383</v>
      </c>
      <c r="Q104" s="55">
        <f t="shared" si="28"/>
        <v>-0.65153846153846151</v>
      </c>
    </row>
    <row r="105" spans="1:17" x14ac:dyDescent="0.2">
      <c r="A105" s="223">
        <v>0</v>
      </c>
      <c r="B105" s="222">
        <f t="shared" si="22"/>
        <v>5.2355769230769242</v>
      </c>
      <c r="C105" s="56">
        <f t="shared" si="29"/>
        <v>0</v>
      </c>
      <c r="D105" s="203">
        <f>B2</f>
        <v>154.92957746478874</v>
      </c>
      <c r="E105" s="54">
        <f t="shared" si="30"/>
        <v>25</v>
      </c>
      <c r="F105" s="56">
        <f t="shared" si="23"/>
        <v>0.182</v>
      </c>
      <c r="G105" s="54">
        <f t="shared" si="31"/>
        <v>25</v>
      </c>
      <c r="H105" s="56">
        <f t="shared" si="24"/>
        <v>25</v>
      </c>
      <c r="I105" s="57">
        <f t="shared" si="25"/>
        <v>8.1442307692307428E-6</v>
      </c>
      <c r="J105" s="63">
        <f t="shared" si="35"/>
        <v>4.0689056571283286E-3</v>
      </c>
      <c r="K105" s="184">
        <f t="shared" si="32"/>
        <v>4.0689056571283286</v>
      </c>
      <c r="L105" s="136">
        <f t="shared" si="33"/>
        <v>1</v>
      </c>
      <c r="M105" s="55">
        <f t="shared" si="26"/>
        <v>35.714285714285715</v>
      </c>
      <c r="N105" s="55">
        <f t="shared" si="36"/>
        <v>1.0659936667899376E-3</v>
      </c>
      <c r="O105" s="55">
        <f t="shared" si="34"/>
        <v>130.88942307692309</v>
      </c>
      <c r="P105" s="55">
        <f t="shared" si="27"/>
        <v>-1.319365384615385</v>
      </c>
      <c r="Q105" s="55">
        <f t="shared" si="28"/>
        <v>-0.5863846153846155</v>
      </c>
    </row>
    <row r="106" spans="1:17" x14ac:dyDescent="0.2">
      <c r="A106" s="223">
        <v>0</v>
      </c>
      <c r="B106" s="222">
        <f t="shared" ref="B106:B114" si="37">VINMAX*(1-((ROW()-10)/104))</f>
        <v>4.6538461538461506</v>
      </c>
      <c r="C106" s="56">
        <f t="shared" si="29"/>
        <v>0</v>
      </c>
      <c r="D106" s="203">
        <f>B2</f>
        <v>154.92957746478874</v>
      </c>
      <c r="E106" s="54">
        <f t="shared" si="30"/>
        <v>25</v>
      </c>
      <c r="F106" s="56">
        <f t="shared" ref="F106:F110" si="38">I_Cout_ss+C106</f>
        <v>0.182</v>
      </c>
      <c r="G106" s="54">
        <f t="shared" si="31"/>
        <v>25</v>
      </c>
      <c r="H106" s="56">
        <f t="shared" ref="H106:H110" si="39">G106-C106</f>
        <v>25</v>
      </c>
      <c r="I106" s="57">
        <f t="shared" ref="I106:I114" si="40">(COUTMAX/1000000)*(B105-B106)/H106</f>
        <v>8.1442307692308309E-6</v>
      </c>
      <c r="J106" s="63">
        <f t="shared" si="35"/>
        <v>4.0770498878975594E-3</v>
      </c>
      <c r="K106" s="184">
        <f t="shared" si="32"/>
        <v>4.0770498878975596</v>
      </c>
      <c r="L106" s="136">
        <f t="shared" si="33"/>
        <v>1</v>
      </c>
      <c r="M106" s="55">
        <f t="shared" ref="M106:M114" si="41">1/COUTMAX*(E106/2-C106)*1000</f>
        <v>35.714285714285715</v>
      </c>
      <c r="N106" s="55">
        <f t="shared" si="36"/>
        <v>9.4754992603550956E-4</v>
      </c>
      <c r="O106" s="55">
        <f t="shared" si="34"/>
        <v>116.34615384615377</v>
      </c>
      <c r="P106" s="55">
        <f t="shared" ref="P106:P114" si="42">(A106-B106)*(I_Cout_ss*$Q$2+C106)</f>
        <v>-1.1727692307692299</v>
      </c>
      <c r="Q106" s="55">
        <f t="shared" ref="Q106:Q114" si="43">(A106-B106)*(I_Cout_ss*$R$2+C106)</f>
        <v>-0.52123076923076883</v>
      </c>
    </row>
    <row r="107" spans="1:17" x14ac:dyDescent="0.2">
      <c r="A107" s="223">
        <v>0</v>
      </c>
      <c r="B107" s="222">
        <f t="shared" si="37"/>
        <v>4.0721153846153832</v>
      </c>
      <c r="C107" s="56">
        <f t="shared" si="29"/>
        <v>0</v>
      </c>
      <c r="D107" s="203">
        <f>B2</f>
        <v>154.92957746478874</v>
      </c>
      <c r="E107" s="54">
        <f t="shared" si="30"/>
        <v>25</v>
      </c>
      <c r="F107" s="56">
        <f t="shared" si="38"/>
        <v>0.182</v>
      </c>
      <c r="G107" s="54">
        <f t="shared" si="31"/>
        <v>25</v>
      </c>
      <c r="H107" s="56">
        <f t="shared" si="39"/>
        <v>25</v>
      </c>
      <c r="I107" s="57">
        <f t="shared" si="40"/>
        <v>8.1442307692307428E-6</v>
      </c>
      <c r="J107" s="63">
        <f t="shared" si="35"/>
        <v>4.0851941186667903E-3</v>
      </c>
      <c r="K107" s="184">
        <f t="shared" si="32"/>
        <v>4.0851941186667906</v>
      </c>
      <c r="L107" s="136">
        <f t="shared" si="33"/>
        <v>1</v>
      </c>
      <c r="M107" s="55">
        <f t="shared" si="41"/>
        <v>35.714285714285715</v>
      </c>
      <c r="N107" s="55">
        <f t="shared" si="36"/>
        <v>8.2910618528106211E-4</v>
      </c>
      <c r="O107" s="55">
        <f t="shared" si="34"/>
        <v>101.80288461538458</v>
      </c>
      <c r="P107" s="55">
        <f t="shared" si="42"/>
        <v>-1.0261730769230766</v>
      </c>
      <c r="Q107" s="55">
        <f t="shared" si="43"/>
        <v>-0.45607692307692294</v>
      </c>
    </row>
    <row r="108" spans="1:17" x14ac:dyDescent="0.2">
      <c r="A108" s="223">
        <v>0</v>
      </c>
      <c r="B108" s="222">
        <f t="shared" si="37"/>
        <v>3.4903846153846163</v>
      </c>
      <c r="C108" s="56">
        <f t="shared" si="29"/>
        <v>0</v>
      </c>
      <c r="D108" s="203">
        <f>B2</f>
        <v>154.92957746478874</v>
      </c>
      <c r="E108" s="54">
        <f t="shared" si="30"/>
        <v>25</v>
      </c>
      <c r="F108" s="56">
        <f t="shared" si="38"/>
        <v>0.182</v>
      </c>
      <c r="G108" s="54">
        <f t="shared" si="31"/>
        <v>25</v>
      </c>
      <c r="H108" s="56">
        <f t="shared" si="39"/>
        <v>25</v>
      </c>
      <c r="I108" s="57">
        <f t="shared" si="40"/>
        <v>8.1442307692307377E-6</v>
      </c>
      <c r="J108" s="63">
        <f t="shared" si="35"/>
        <v>4.0933383494360211E-3</v>
      </c>
      <c r="K108" s="184">
        <f t="shared" si="32"/>
        <v>4.0933383494360207</v>
      </c>
      <c r="L108" s="136">
        <f t="shared" si="33"/>
        <v>1</v>
      </c>
      <c r="M108" s="55">
        <f t="shared" si="41"/>
        <v>35.714285714285715</v>
      </c>
      <c r="N108" s="55">
        <f t="shared" si="36"/>
        <v>7.1066244452662464E-4</v>
      </c>
      <c r="O108" s="55">
        <f t="shared" si="34"/>
        <v>87.259615384615401</v>
      </c>
      <c r="P108" s="55">
        <f t="shared" si="42"/>
        <v>-0.87957692307692337</v>
      </c>
      <c r="Q108" s="55">
        <f t="shared" si="43"/>
        <v>-0.39092307692307704</v>
      </c>
    </row>
    <row r="109" spans="1:17" x14ac:dyDescent="0.2">
      <c r="A109" s="223">
        <v>0</v>
      </c>
      <c r="B109" s="222">
        <f t="shared" si="37"/>
        <v>2.9086538461538494</v>
      </c>
      <c r="C109" s="56">
        <f t="shared" si="29"/>
        <v>0</v>
      </c>
      <c r="D109" s="203">
        <f>B2</f>
        <v>154.92957746478874</v>
      </c>
      <c r="E109" s="54">
        <f t="shared" si="30"/>
        <v>25</v>
      </c>
      <c r="F109" s="56">
        <f t="shared" si="38"/>
        <v>0.182</v>
      </c>
      <c r="G109" s="54">
        <f t="shared" si="31"/>
        <v>25</v>
      </c>
      <c r="H109" s="56">
        <f t="shared" si="39"/>
        <v>25</v>
      </c>
      <c r="I109" s="57">
        <f t="shared" si="40"/>
        <v>8.1442307692307377E-6</v>
      </c>
      <c r="J109" s="63">
        <f t="shared" si="35"/>
        <v>4.1014825802052519E-3</v>
      </c>
      <c r="K109" s="184">
        <f t="shared" si="32"/>
        <v>4.1014825802052517</v>
      </c>
      <c r="L109" s="136">
        <f t="shared" si="33"/>
        <v>1</v>
      </c>
      <c r="M109" s="55">
        <f t="shared" si="41"/>
        <v>35.714285714285715</v>
      </c>
      <c r="N109" s="55">
        <f t="shared" si="36"/>
        <v>5.922187037721877E-4</v>
      </c>
      <c r="O109" s="55">
        <f t="shared" si="34"/>
        <v>72.716346153846231</v>
      </c>
      <c r="P109" s="55">
        <f t="shared" si="42"/>
        <v>-0.73298076923077005</v>
      </c>
      <c r="Q109" s="55">
        <f t="shared" si="43"/>
        <v>-0.32576923076923114</v>
      </c>
    </row>
    <row r="110" spans="1:17" x14ac:dyDescent="0.2">
      <c r="A110" s="223">
        <v>0</v>
      </c>
      <c r="B110" s="222">
        <f t="shared" si="37"/>
        <v>2.3269230769230753</v>
      </c>
      <c r="C110" s="56">
        <f t="shared" si="29"/>
        <v>0</v>
      </c>
      <c r="D110" s="203">
        <f>B2</f>
        <v>154.92957746478874</v>
      </c>
      <c r="E110" s="54">
        <f t="shared" si="30"/>
        <v>25</v>
      </c>
      <c r="F110" s="56">
        <f t="shared" si="38"/>
        <v>0.182</v>
      </c>
      <c r="G110" s="54">
        <f t="shared" si="31"/>
        <v>25</v>
      </c>
      <c r="H110" s="56">
        <f t="shared" si="39"/>
        <v>25</v>
      </c>
      <c r="I110" s="57">
        <f t="shared" si="40"/>
        <v>8.144230769230836E-6</v>
      </c>
      <c r="J110" s="63">
        <f t="shared" si="35"/>
        <v>4.1096268109744828E-3</v>
      </c>
      <c r="K110" s="184">
        <f t="shared" si="32"/>
        <v>4.1096268109744827</v>
      </c>
      <c r="L110" s="136">
        <f t="shared" si="33"/>
        <v>1</v>
      </c>
      <c r="M110" s="55">
        <f t="shared" si="41"/>
        <v>35.714285714285715</v>
      </c>
      <c r="N110" s="55">
        <f t="shared" si="36"/>
        <v>4.73774963017755E-4</v>
      </c>
      <c r="O110" s="55">
        <f t="shared" si="34"/>
        <v>58.173076923076884</v>
      </c>
      <c r="P110" s="55">
        <f t="shared" si="42"/>
        <v>-0.58638461538461495</v>
      </c>
      <c r="Q110" s="55">
        <f t="shared" si="43"/>
        <v>-0.26061538461538442</v>
      </c>
    </row>
    <row r="111" spans="1:17" x14ac:dyDescent="0.2">
      <c r="A111" s="223">
        <v>0</v>
      </c>
      <c r="B111" s="222">
        <f t="shared" si="37"/>
        <v>1.7451923076923082</v>
      </c>
      <c r="C111" s="56">
        <f t="shared" si="29"/>
        <v>0</v>
      </c>
      <c r="D111" s="203">
        <f>B2</f>
        <v>154.92957746478874</v>
      </c>
      <c r="E111" s="54">
        <f t="shared" si="30"/>
        <v>25</v>
      </c>
      <c r="F111" s="56">
        <f>I_Cout_ss+C111</f>
        <v>0.182</v>
      </c>
      <c r="G111" s="54">
        <f>IF($F$2="YES", F111, E111)</f>
        <v>25</v>
      </c>
      <c r="H111" s="56">
        <f>G111-C111</f>
        <v>25</v>
      </c>
      <c r="I111" s="57">
        <f t="shared" si="40"/>
        <v>8.1442307692307394E-6</v>
      </c>
      <c r="J111" s="63">
        <f>J110+I111</f>
        <v>4.1177710417437136E-3</v>
      </c>
      <c r="K111" s="184">
        <f t="shared" si="32"/>
        <v>4.1177710417437137</v>
      </c>
      <c r="L111" s="136">
        <f>H111/G111</f>
        <v>1</v>
      </c>
      <c r="M111" s="55">
        <f t="shared" si="41"/>
        <v>35.714285714285715</v>
      </c>
      <c r="N111" s="55">
        <f t="shared" si="36"/>
        <v>3.5533122226331237E-4</v>
      </c>
      <c r="O111" s="55">
        <f t="shared" si="34"/>
        <v>43.629807692307701</v>
      </c>
      <c r="P111" s="55">
        <f t="shared" si="42"/>
        <v>-0.43978846153846168</v>
      </c>
      <c r="Q111" s="55">
        <f t="shared" si="43"/>
        <v>-0.19546153846153852</v>
      </c>
    </row>
    <row r="112" spans="1:17" x14ac:dyDescent="0.2">
      <c r="A112" s="223">
        <v>0</v>
      </c>
      <c r="B112" s="222">
        <f t="shared" si="37"/>
        <v>1.163461538461541</v>
      </c>
      <c r="C112" s="56">
        <f t="shared" si="29"/>
        <v>0</v>
      </c>
      <c r="D112" s="203">
        <f>B2</f>
        <v>154.92957746478874</v>
      </c>
      <c r="E112" s="54">
        <f t="shared" si="30"/>
        <v>25</v>
      </c>
      <c r="F112" s="56">
        <f t="shared" ref="F112:F113" si="44">I_Cout_ss+C112</f>
        <v>0.182</v>
      </c>
      <c r="G112" s="54">
        <f t="shared" ref="G112:G113" si="45">IF($F$2="YES", F112, E112)</f>
        <v>25</v>
      </c>
      <c r="H112" s="56">
        <f t="shared" ref="H112:H113" si="46">G112-C112</f>
        <v>25</v>
      </c>
      <c r="I112" s="57">
        <f t="shared" si="40"/>
        <v>8.1442307692307394E-6</v>
      </c>
      <c r="J112" s="63">
        <f t="shared" ref="J112:J113" si="47">J111+I112</f>
        <v>4.1259152725129445E-3</v>
      </c>
      <c r="K112" s="184">
        <f t="shared" si="32"/>
        <v>4.1259152725129447</v>
      </c>
      <c r="L112" s="136">
        <f t="shared" ref="L112:L113" si="48">H112/G112</f>
        <v>1</v>
      </c>
      <c r="M112" s="55">
        <f t="shared" si="41"/>
        <v>35.714285714285715</v>
      </c>
      <c r="N112" s="55">
        <f t="shared" si="36"/>
        <v>2.3688748150887538E-4</v>
      </c>
      <c r="O112" s="55">
        <f t="shared" si="34"/>
        <v>29.086538461538524</v>
      </c>
      <c r="P112" s="55">
        <f t="shared" si="42"/>
        <v>-0.29319230769230831</v>
      </c>
      <c r="Q112" s="55">
        <f t="shared" si="43"/>
        <v>-0.1303076923076926</v>
      </c>
    </row>
    <row r="113" spans="1:17" x14ac:dyDescent="0.2">
      <c r="A113" s="223">
        <v>0</v>
      </c>
      <c r="B113" s="222">
        <f t="shared" si="37"/>
        <v>0.58173076923076716</v>
      </c>
      <c r="C113" s="56">
        <f t="shared" si="29"/>
        <v>6</v>
      </c>
      <c r="D113" s="203">
        <f>B2</f>
        <v>154.92957746478874</v>
      </c>
      <c r="E113" s="54">
        <f t="shared" si="30"/>
        <v>25</v>
      </c>
      <c r="F113" s="56">
        <f t="shared" si="44"/>
        <v>6.1820000000000004</v>
      </c>
      <c r="G113" s="54">
        <f t="shared" si="45"/>
        <v>25</v>
      </c>
      <c r="H113" s="56">
        <f t="shared" si="46"/>
        <v>19</v>
      </c>
      <c r="I113" s="57">
        <f t="shared" si="40"/>
        <v>1.0716093117408992E-5</v>
      </c>
      <c r="J113" s="63">
        <f t="shared" si="47"/>
        <v>4.1366313656303532E-3</v>
      </c>
      <c r="K113" s="184">
        <f t="shared" si="32"/>
        <v>4.1366313656303531</v>
      </c>
      <c r="L113" s="136">
        <f t="shared" si="48"/>
        <v>0.76</v>
      </c>
      <c r="M113" s="55">
        <f t="shared" si="41"/>
        <v>18.571428571428573</v>
      </c>
      <c r="N113" s="55">
        <f t="shared" si="36"/>
        <v>1.5584702730847157E-4</v>
      </c>
      <c r="O113" s="55">
        <f t="shared" si="34"/>
        <v>14.543269230769178</v>
      </c>
      <c r="P113" s="55">
        <f t="shared" si="42"/>
        <v>-3.6369807692307563</v>
      </c>
      <c r="Q113" s="55">
        <f t="shared" si="43"/>
        <v>-3.5555384615384491</v>
      </c>
    </row>
    <row r="114" spans="1:17" x14ac:dyDescent="0.2">
      <c r="A114" s="223">
        <v>0</v>
      </c>
      <c r="B114" s="222">
        <f t="shared" si="37"/>
        <v>0</v>
      </c>
      <c r="C114" s="56">
        <f t="shared" si="29"/>
        <v>6</v>
      </c>
      <c r="D114" s="203">
        <f>B2</f>
        <v>154.92957746478874</v>
      </c>
      <c r="E114" s="54">
        <f>E113</f>
        <v>25</v>
      </c>
      <c r="F114" s="56">
        <f t="shared" ref="F114" si="49">I_Cout_ss+C114</f>
        <v>6.1820000000000004</v>
      </c>
      <c r="G114" s="54">
        <f t="shared" ref="G114" si="50">IF($F$2="YES", F114, E114)</f>
        <v>25</v>
      </c>
      <c r="H114" s="56">
        <f t="shared" ref="H114" si="51">G114-C114</f>
        <v>19</v>
      </c>
      <c r="I114" s="57">
        <f t="shared" si="40"/>
        <v>1.0716093117408868E-5</v>
      </c>
      <c r="J114" s="63">
        <f>J113+I114</f>
        <v>4.147347458747762E-3</v>
      </c>
      <c r="K114" s="184">
        <f t="shared" si="32"/>
        <v>4.1473474587477623</v>
      </c>
      <c r="L114" s="136">
        <f t="shared" ref="L114" si="52">H114/G114</f>
        <v>0.76</v>
      </c>
      <c r="M114" s="55">
        <f t="shared" si="41"/>
        <v>18.571428571428573</v>
      </c>
      <c r="N114" s="55">
        <f t="shared" si="36"/>
        <v>0</v>
      </c>
      <c r="O114" s="55">
        <f t="shared" si="34"/>
        <v>0</v>
      </c>
      <c r="P114" s="55">
        <f t="shared" si="42"/>
        <v>0</v>
      </c>
      <c r="Q114" s="55">
        <f t="shared" si="43"/>
        <v>0</v>
      </c>
    </row>
    <row r="115" spans="1:17" x14ac:dyDescent="0.2">
      <c r="K115" s="185">
        <f>K114+0.5</f>
        <v>4.6473474587477623</v>
      </c>
      <c r="N115" s="55">
        <v>0</v>
      </c>
      <c r="O115" s="55">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3:O44"/>
  <sheetViews>
    <sheetView topLeftCell="A7" workbookViewId="0">
      <selection activeCell="K8" sqref="K8"/>
    </sheetView>
  </sheetViews>
  <sheetFormatPr defaultRowHeight="12.75" x14ac:dyDescent="0.2"/>
  <cols>
    <col min="1" max="2" width="24.28515625" customWidth="1"/>
    <col min="4" max="4" width="27.42578125" customWidth="1"/>
    <col min="6" max="6" width="12" bestFit="1" customWidth="1"/>
    <col min="7" max="8" width="10.85546875" customWidth="1"/>
    <col min="9" max="9" width="11.42578125" customWidth="1"/>
  </cols>
  <sheetData>
    <row r="3" spans="1:15" x14ac:dyDescent="0.2">
      <c r="A3" s="23" t="s">
        <v>232</v>
      </c>
      <c r="B3" s="23"/>
      <c r="C3" s="28"/>
      <c r="D3" s="2" t="s">
        <v>223</v>
      </c>
      <c r="E3" s="28" t="s">
        <v>37</v>
      </c>
      <c r="F3" s="28" t="s">
        <v>38</v>
      </c>
      <c r="G3" s="28" t="s">
        <v>39</v>
      </c>
      <c r="H3" s="28"/>
      <c r="K3" s="358" t="s">
        <v>213</v>
      </c>
      <c r="L3" s="359"/>
      <c r="N3" s="28" t="s">
        <v>229</v>
      </c>
    </row>
    <row r="4" spans="1:15" x14ac:dyDescent="0.2">
      <c r="A4" s="28" t="s">
        <v>388</v>
      </c>
      <c r="B4" s="28"/>
      <c r="D4" s="29" t="s">
        <v>213</v>
      </c>
      <c r="E4" s="109"/>
      <c r="F4" s="109">
        <v>1.4</v>
      </c>
      <c r="G4" s="108">
        <v>1.7</v>
      </c>
      <c r="H4" s="28" t="s">
        <v>88</v>
      </c>
      <c r="I4" s="28"/>
      <c r="K4" s="65" t="s">
        <v>139</v>
      </c>
      <c r="L4" s="65" t="s">
        <v>140</v>
      </c>
      <c r="M4" s="65" t="s">
        <v>166</v>
      </c>
      <c r="N4" s="65" t="s">
        <v>139</v>
      </c>
      <c r="O4" s="65" t="s">
        <v>140</v>
      </c>
    </row>
    <row r="5" spans="1:15" x14ac:dyDescent="0.2">
      <c r="A5" s="28" t="s">
        <v>231</v>
      </c>
      <c r="B5" s="28"/>
      <c r="D5" s="29" t="s">
        <v>222</v>
      </c>
      <c r="E5" s="109"/>
      <c r="F5" s="109"/>
      <c r="G5" s="108">
        <v>200</v>
      </c>
      <c r="H5" s="28" t="s">
        <v>27</v>
      </c>
      <c r="I5" s="28"/>
      <c r="K5" s="1">
        <v>0.01</v>
      </c>
      <c r="L5" s="1">
        <f>K5/(G4/1000)</f>
        <v>5.882352941176471</v>
      </c>
      <c r="M5" s="28" t="s">
        <v>228</v>
      </c>
      <c r="N5" s="1">
        <f>G10/O5</f>
        <v>30</v>
      </c>
      <c r="O5" s="1">
        <f>I15</f>
        <v>200</v>
      </c>
    </row>
    <row r="6" spans="1:15" x14ac:dyDescent="0.2">
      <c r="D6" s="29" t="s">
        <v>224</v>
      </c>
      <c r="E6" s="109"/>
      <c r="F6" s="109"/>
      <c r="G6" s="108">
        <v>30</v>
      </c>
      <c r="H6" s="28" t="s">
        <v>89</v>
      </c>
      <c r="I6" s="28"/>
      <c r="K6" s="1">
        <f>L6*($G$4/1000)</f>
        <v>0.33999999999999997</v>
      </c>
      <c r="L6" s="1">
        <v>200</v>
      </c>
      <c r="N6" s="1">
        <f>J15</f>
        <v>30</v>
      </c>
      <c r="O6" s="1">
        <f>G10/N6</f>
        <v>200</v>
      </c>
    </row>
    <row r="7" spans="1:15" x14ac:dyDescent="0.2">
      <c r="D7" s="29" t="s">
        <v>235</v>
      </c>
      <c r="E7" s="109"/>
      <c r="F7" s="109">
        <v>30</v>
      </c>
      <c r="G7" s="108"/>
      <c r="H7" s="108"/>
      <c r="I7" s="28"/>
      <c r="K7" s="1"/>
      <c r="L7" s="1"/>
      <c r="N7" s="1"/>
      <c r="O7" s="1"/>
    </row>
    <row r="8" spans="1:15" x14ac:dyDescent="0.2">
      <c r="D8" s="29" t="s">
        <v>236</v>
      </c>
      <c r="E8" s="109"/>
      <c r="F8" s="109"/>
      <c r="G8" s="108">
        <v>150</v>
      </c>
      <c r="H8" s="108"/>
      <c r="I8" s="28"/>
      <c r="K8" s="1"/>
      <c r="L8" s="1"/>
      <c r="N8" s="1"/>
      <c r="O8" s="1"/>
    </row>
    <row r="9" spans="1:15" x14ac:dyDescent="0.2">
      <c r="D9" s="29"/>
      <c r="E9" s="28" t="s">
        <v>139</v>
      </c>
      <c r="F9" s="28" t="s">
        <v>140</v>
      </c>
      <c r="G9" s="28" t="s">
        <v>225</v>
      </c>
      <c r="H9" s="28"/>
      <c r="I9" s="28" t="s">
        <v>226</v>
      </c>
      <c r="M9" s="28" t="s">
        <v>162</v>
      </c>
      <c r="N9" s="1">
        <f>G11/O9</f>
        <v>8</v>
      </c>
      <c r="O9" s="1">
        <f>I16</f>
        <v>200</v>
      </c>
    </row>
    <row r="10" spans="1:15" x14ac:dyDescent="0.2">
      <c r="D10" s="29" t="s">
        <v>214</v>
      </c>
      <c r="E10" s="108">
        <v>30</v>
      </c>
      <c r="F10" s="108">
        <v>200</v>
      </c>
      <c r="G10">
        <f>E10*F10</f>
        <v>6000</v>
      </c>
      <c r="I10">
        <f>(G10/($G$4/1000))^0.5</f>
        <v>1878.6728732554484</v>
      </c>
      <c r="N10" s="1">
        <f>J16</f>
        <v>30</v>
      </c>
      <c r="O10" s="1">
        <f>G11/N10</f>
        <v>53.333333333333336</v>
      </c>
    </row>
    <row r="11" spans="1:15" x14ac:dyDescent="0.2">
      <c r="D11" s="29" t="s">
        <v>215</v>
      </c>
      <c r="E11" s="108">
        <v>8</v>
      </c>
      <c r="F11" s="108">
        <v>200</v>
      </c>
      <c r="G11">
        <f t="shared" ref="G11:G17" si="0">E11*F11</f>
        <v>1600</v>
      </c>
      <c r="I11">
        <f t="shared" ref="I11:I13" si="1">(G11/($G$4/1000))^0.5</f>
        <v>970.14250014533195</v>
      </c>
      <c r="M11" s="28" t="s">
        <v>163</v>
      </c>
      <c r="N11" s="1">
        <f>G12/O11</f>
        <v>1</v>
      </c>
      <c r="O11" s="1">
        <f>I17</f>
        <v>200</v>
      </c>
    </row>
    <row r="12" spans="1:15" x14ac:dyDescent="0.2">
      <c r="D12" s="29" t="s">
        <v>216</v>
      </c>
      <c r="E12" s="108">
        <v>1</v>
      </c>
      <c r="F12" s="108">
        <v>200</v>
      </c>
      <c r="G12">
        <f t="shared" si="0"/>
        <v>200</v>
      </c>
      <c r="I12">
        <f t="shared" si="1"/>
        <v>342.99717028501766</v>
      </c>
      <c r="N12" s="1">
        <f>J17</f>
        <v>30</v>
      </c>
      <c r="O12" s="1"/>
    </row>
    <row r="13" spans="1:15" x14ac:dyDescent="0.2">
      <c r="D13" s="29" t="s">
        <v>217</v>
      </c>
      <c r="E13" s="108">
        <v>3</v>
      </c>
      <c r="F13" s="108">
        <v>20</v>
      </c>
      <c r="G13">
        <f t="shared" si="0"/>
        <v>60</v>
      </c>
      <c r="I13">
        <f t="shared" si="1"/>
        <v>187.86728732554485</v>
      </c>
      <c r="M13" s="28" t="s">
        <v>164</v>
      </c>
      <c r="N13" s="1">
        <f>G13/O13</f>
        <v>0.31937438845342625</v>
      </c>
      <c r="O13" s="1">
        <f>I18</f>
        <v>187.86728732554485</v>
      </c>
    </row>
    <row r="14" spans="1:15" x14ac:dyDescent="0.2">
      <c r="D14" s="29" t="s">
        <v>218</v>
      </c>
      <c r="E14" s="1">
        <v>31</v>
      </c>
      <c r="F14" s="1">
        <v>0</v>
      </c>
      <c r="G14">
        <f t="shared" si="0"/>
        <v>0</v>
      </c>
      <c r="I14" s="28" t="s">
        <v>227</v>
      </c>
      <c r="J14" s="28" t="s">
        <v>230</v>
      </c>
      <c r="N14" s="1">
        <f>J18</f>
        <v>30</v>
      </c>
      <c r="O14" s="1"/>
    </row>
    <row r="15" spans="1:15" x14ac:dyDescent="0.2">
      <c r="D15" s="29" t="s">
        <v>219</v>
      </c>
      <c r="E15" s="1">
        <v>31</v>
      </c>
      <c r="F15" s="1">
        <v>0</v>
      </c>
      <c r="G15">
        <f t="shared" si="0"/>
        <v>0</v>
      </c>
      <c r="I15" s="28">
        <f>IF(I10&gt;$G$5,200,I10)</f>
        <v>200</v>
      </c>
      <c r="J15" s="28">
        <f>IF(E14&gt;$G$6,$G$6,)</f>
        <v>30</v>
      </c>
    </row>
    <row r="16" spans="1:15" x14ac:dyDescent="0.2">
      <c r="D16" s="29" t="s">
        <v>220</v>
      </c>
      <c r="E16" s="1">
        <v>31</v>
      </c>
      <c r="F16" s="1">
        <v>0</v>
      </c>
      <c r="G16">
        <f t="shared" si="0"/>
        <v>0</v>
      </c>
      <c r="I16" s="28">
        <f>IF(I11&gt;$G$5,200,I11)</f>
        <v>200</v>
      </c>
      <c r="J16" s="28">
        <f t="shared" ref="J16:J18" si="2">IF(E15&gt;$G$6,$G$6,)</f>
        <v>30</v>
      </c>
    </row>
    <row r="17" spans="1:10" x14ac:dyDescent="0.2">
      <c r="D17" s="29" t="s">
        <v>221</v>
      </c>
      <c r="E17" s="1">
        <v>31</v>
      </c>
      <c r="F17" s="1">
        <v>0</v>
      </c>
      <c r="G17">
        <f t="shared" si="0"/>
        <v>0</v>
      </c>
      <c r="I17" s="28">
        <f>IF(I12&gt;$G$5,200,I12)</f>
        <v>200</v>
      </c>
      <c r="J17" s="28">
        <f t="shared" si="2"/>
        <v>30</v>
      </c>
    </row>
    <row r="18" spans="1:10" x14ac:dyDescent="0.2">
      <c r="I18" s="28">
        <f>IF(I13&gt;$G$5,200,I13)</f>
        <v>187.86728732554485</v>
      </c>
      <c r="J18" s="28">
        <f t="shared" si="2"/>
        <v>30</v>
      </c>
    </row>
    <row r="20" spans="1:10" x14ac:dyDescent="0.2">
      <c r="D20" s="29"/>
    </row>
    <row r="21" spans="1:10" x14ac:dyDescent="0.2">
      <c r="A21" s="28" t="s">
        <v>233</v>
      </c>
      <c r="B21" s="28" t="s">
        <v>389</v>
      </c>
    </row>
    <row r="22" spans="1:10" x14ac:dyDescent="0.2">
      <c r="A22" s="28" t="s">
        <v>213</v>
      </c>
      <c r="B22" s="170">
        <v>1.3</v>
      </c>
      <c r="D22" s="61"/>
    </row>
    <row r="23" spans="1:10" x14ac:dyDescent="0.2">
      <c r="A23" s="28" t="s">
        <v>236</v>
      </c>
      <c r="B23" s="170">
        <v>150</v>
      </c>
      <c r="D23" s="182"/>
    </row>
    <row r="24" spans="1:10" x14ac:dyDescent="0.2">
      <c r="A24" s="28" t="s">
        <v>234</v>
      </c>
      <c r="B24" s="171">
        <v>400</v>
      </c>
      <c r="D24" s="182"/>
    </row>
    <row r="25" spans="1:10" x14ac:dyDescent="0.2">
      <c r="A25" s="28" t="s">
        <v>237</v>
      </c>
      <c r="B25" s="171">
        <v>100</v>
      </c>
      <c r="D25" s="182"/>
    </row>
    <row r="26" spans="1:10" x14ac:dyDescent="0.2">
      <c r="A26" s="28" t="s">
        <v>238</v>
      </c>
      <c r="B26" s="171">
        <v>15</v>
      </c>
      <c r="D26" s="182"/>
    </row>
    <row r="27" spans="1:10" x14ac:dyDescent="0.2">
      <c r="A27" s="28" t="s">
        <v>239</v>
      </c>
      <c r="B27" s="171">
        <v>4</v>
      </c>
      <c r="D27" s="182"/>
    </row>
    <row r="28" spans="1:10" x14ac:dyDescent="0.2">
      <c r="A28" s="28" t="s">
        <v>390</v>
      </c>
      <c r="B28" s="171">
        <v>0.8</v>
      </c>
    </row>
    <row r="37" spans="5:8" ht="13.5" thickBot="1" x14ac:dyDescent="0.25">
      <c r="E37" s="111" t="s">
        <v>270</v>
      </c>
      <c r="F37" s="112"/>
      <c r="G37" t="e">
        <f>Tfaultmax</f>
        <v>#REF!</v>
      </c>
      <c r="H37" s="28" t="s">
        <v>8</v>
      </c>
    </row>
    <row r="38" spans="5:8" ht="14.25" x14ac:dyDescent="0.25">
      <c r="E38" s="113" t="s">
        <v>58</v>
      </c>
      <c r="F38" s="114" t="s">
        <v>105</v>
      </c>
    </row>
    <row r="39" spans="5:8" x14ac:dyDescent="0.2">
      <c r="E39" s="115" t="s">
        <v>9</v>
      </c>
      <c r="F39" s="116" t="s">
        <v>10</v>
      </c>
    </row>
    <row r="40" spans="5:8" x14ac:dyDescent="0.2">
      <c r="E40" s="117">
        <v>1</v>
      </c>
      <c r="F40" s="118">
        <f>SOA!$C$25/E40</f>
        <v>203.46685975799764</v>
      </c>
    </row>
    <row r="41" spans="5:8" x14ac:dyDescent="0.2">
      <c r="E41" s="117">
        <v>1.2</v>
      </c>
      <c r="F41" s="118">
        <f>SOA!$C$25/E41</f>
        <v>169.55571646499803</v>
      </c>
    </row>
    <row r="42" spans="5:8" x14ac:dyDescent="0.2">
      <c r="E42" s="117">
        <v>30</v>
      </c>
      <c r="F42" s="118">
        <f>SOA!$C$25/E42</f>
        <v>6.7822286585999212</v>
      </c>
    </row>
    <row r="43" spans="5:8" x14ac:dyDescent="0.2">
      <c r="E43" s="117">
        <f>VINMAX_P</f>
        <v>60.5</v>
      </c>
      <c r="F43" s="118">
        <f>SOA!$C$25/E43</f>
        <v>3.3630885910412833</v>
      </c>
    </row>
    <row r="44" spans="5:8" ht="13.5" thickBot="1" x14ac:dyDescent="0.25">
      <c r="E44" s="119"/>
      <c r="F44" s="120"/>
    </row>
  </sheetData>
  <mergeCells count="1">
    <mergeCell ref="K3:L3"/>
  </mergeCells>
  <dataValidations disablePrompts="1" count="2">
    <dataValidation type="decimal" allowBlank="1" showInputMessage="1" showErrorMessage="1" sqref="D23:D27 B24:B28">
      <formula1>0.001</formula1>
      <formula2>400</formula2>
    </dataValidation>
    <dataValidation type="decimal" allowBlank="1" showInputMessage="1" showErrorMessage="1" sqref="B23">
      <formula1>0</formula1>
      <formula2>200</formula2>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69"/>
  <sheetViews>
    <sheetView zoomScale="85" zoomScaleNormal="85" workbookViewId="0">
      <selection activeCell="K8" sqref="K8"/>
    </sheetView>
  </sheetViews>
  <sheetFormatPr defaultRowHeight="12.75" x14ac:dyDescent="0.2"/>
  <cols>
    <col min="1" max="1" width="19.7109375" customWidth="1"/>
    <col min="2" max="2" width="17.2851562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C1" s="9"/>
      <c r="D1" s="9"/>
      <c r="E1" s="9"/>
      <c r="F1" s="9"/>
      <c r="G1" s="9"/>
    </row>
    <row r="2" spans="1:22" x14ac:dyDescent="0.2">
      <c r="A2" s="66"/>
      <c r="B2" s="175"/>
      <c r="C2" s="360" t="s">
        <v>161</v>
      </c>
      <c r="D2" s="361"/>
      <c r="E2" s="361"/>
      <c r="F2" s="76"/>
      <c r="G2" s="76"/>
      <c r="H2" s="28" t="s">
        <v>182</v>
      </c>
      <c r="I2" s="9"/>
      <c r="J2" s="9"/>
      <c r="K2" s="9"/>
      <c r="L2" s="9"/>
      <c r="M2" s="9"/>
      <c r="N2" s="9"/>
      <c r="O2" s="67"/>
      <c r="P2" s="67"/>
      <c r="Q2" s="67"/>
      <c r="R2" s="67"/>
      <c r="S2" s="67"/>
      <c r="T2" s="67"/>
      <c r="U2" s="9"/>
      <c r="V2" s="9"/>
    </row>
    <row r="3" spans="1:22" x14ac:dyDescent="0.2">
      <c r="A3" s="66"/>
      <c r="B3" s="68" t="s">
        <v>228</v>
      </c>
      <c r="C3" s="68" t="s">
        <v>162</v>
      </c>
      <c r="D3" s="68" t="s">
        <v>163</v>
      </c>
      <c r="E3" s="68" t="s">
        <v>164</v>
      </c>
      <c r="F3" s="176" t="s">
        <v>383</v>
      </c>
      <c r="G3" s="73"/>
      <c r="H3" s="28" t="s">
        <v>180</v>
      </c>
      <c r="I3" s="69"/>
      <c r="J3" s="69"/>
      <c r="K3" s="69"/>
      <c r="L3" s="69"/>
      <c r="M3" s="69"/>
      <c r="N3" s="9"/>
      <c r="O3" s="69"/>
      <c r="P3" s="69"/>
      <c r="Q3" s="70"/>
      <c r="R3" s="70"/>
      <c r="S3" s="70"/>
      <c r="T3" s="70"/>
      <c r="U3" s="9"/>
      <c r="V3" s="9"/>
    </row>
    <row r="4" spans="1:22" ht="21.6" customHeight="1" x14ac:dyDescent="0.2">
      <c r="A4" s="68" t="s">
        <v>165</v>
      </c>
      <c r="B4" s="66">
        <f>'Design Calculator'!AN40</f>
        <v>100</v>
      </c>
      <c r="C4" s="71">
        <f>'Design Calculator'!$AN$41</f>
        <v>30</v>
      </c>
      <c r="D4" s="71">
        <f>'Design Calculator'!$AN$42</f>
        <v>6.5</v>
      </c>
      <c r="E4" s="71">
        <f>'Design Calculator'!$AN$43</f>
        <v>2</v>
      </c>
      <c r="F4" s="71">
        <f>'Design Calculator'!AN44</f>
        <v>1.5</v>
      </c>
      <c r="G4" s="77"/>
      <c r="H4" s="28" t="s">
        <v>181</v>
      </c>
      <c r="I4" s="69"/>
      <c r="J4" s="69"/>
      <c r="K4" s="69"/>
      <c r="L4" s="70"/>
      <c r="M4" s="70"/>
      <c r="N4" s="9"/>
      <c r="O4" s="69"/>
      <c r="P4" s="69"/>
      <c r="Q4" s="70"/>
      <c r="R4" s="70"/>
      <c r="S4" s="70"/>
      <c r="T4" s="70"/>
      <c r="U4" s="9"/>
      <c r="V4" s="9"/>
    </row>
    <row r="5" spans="1:22" x14ac:dyDescent="0.2">
      <c r="A5" s="9"/>
      <c r="C5" s="69"/>
      <c r="D5" s="70"/>
      <c r="E5" s="70"/>
      <c r="F5" s="72"/>
      <c r="G5" s="72"/>
      <c r="H5" s="9"/>
      <c r="I5" s="69"/>
      <c r="J5" s="69"/>
      <c r="K5" s="69"/>
      <c r="L5" s="70"/>
      <c r="M5" s="70"/>
      <c r="N5" s="362"/>
      <c r="O5" s="362"/>
      <c r="P5" s="362"/>
      <c r="Q5" s="70"/>
      <c r="R5" s="363"/>
      <c r="S5" s="364"/>
      <c r="T5" s="364"/>
      <c r="U5" s="9"/>
      <c r="V5" s="9"/>
    </row>
    <row r="6" spans="1:22" x14ac:dyDescent="0.2">
      <c r="A6" s="9"/>
      <c r="C6" s="69"/>
      <c r="D6" s="70"/>
      <c r="E6" s="70"/>
      <c r="F6" s="72"/>
      <c r="G6" s="72"/>
      <c r="H6" s="9"/>
      <c r="I6" s="69"/>
      <c r="J6" s="69"/>
      <c r="K6" s="69"/>
      <c r="L6" s="70"/>
      <c r="M6" s="70"/>
      <c r="N6" s="9"/>
      <c r="O6" s="73"/>
      <c r="P6" s="9"/>
      <c r="Q6" s="9"/>
      <c r="R6" s="9"/>
      <c r="S6" s="9"/>
      <c r="T6" s="9"/>
      <c r="U6" s="9"/>
      <c r="V6" s="9"/>
    </row>
    <row r="7" spans="1:22" ht="15" x14ac:dyDescent="0.25">
      <c r="A7" s="9"/>
      <c r="B7" s="74" t="s">
        <v>378</v>
      </c>
      <c r="G7" s="164" t="s">
        <v>365</v>
      </c>
      <c r="H7" s="9"/>
      <c r="J7" s="146"/>
      <c r="K7" s="70"/>
      <c r="L7" s="9"/>
      <c r="M7" s="9"/>
      <c r="N7" s="73"/>
      <c r="O7" s="73"/>
      <c r="P7" s="73"/>
      <c r="Q7" s="9"/>
      <c r="R7" s="9"/>
      <c r="S7" s="9"/>
      <c r="T7" s="75"/>
      <c r="U7" s="69"/>
      <c r="V7" s="9"/>
    </row>
    <row r="8" spans="1:22" ht="15" x14ac:dyDescent="0.25">
      <c r="A8" s="9"/>
      <c r="B8" s="28" t="s">
        <v>166</v>
      </c>
      <c r="C8">
        <f>IF('Design Calculator'!F55="No", 'Design Calculator'!$F$61,'Design Calculator'!F74)</f>
        <v>10.352941176470589</v>
      </c>
      <c r="D8" s="28" t="s">
        <v>8</v>
      </c>
      <c r="G8" s="78"/>
      <c r="H8">
        <f>Equations!F69</f>
        <v>4.0949061447709045</v>
      </c>
      <c r="J8" s="80"/>
      <c r="K8" s="70"/>
      <c r="L8" s="9"/>
      <c r="M8" s="9"/>
      <c r="N8" s="73"/>
      <c r="O8" s="9"/>
      <c r="P8" s="75"/>
      <c r="Q8" s="9"/>
      <c r="R8" s="9"/>
      <c r="S8" s="9"/>
      <c r="T8" s="75"/>
      <c r="U8" s="69"/>
      <c r="V8" s="9"/>
    </row>
    <row r="9" spans="1:22" ht="15" x14ac:dyDescent="0.25">
      <c r="A9" s="9"/>
      <c r="B9" s="210" t="s">
        <v>167</v>
      </c>
      <c r="C9">
        <f>VINMAX_P</f>
        <v>60.5</v>
      </c>
      <c r="D9" t="s">
        <v>89</v>
      </c>
      <c r="G9" s="210" t="s">
        <v>166</v>
      </c>
      <c r="H9">
        <f>VINMAX_P</f>
        <v>60.5</v>
      </c>
      <c r="K9" s="70"/>
      <c r="L9" s="9"/>
      <c r="M9" s="9"/>
      <c r="N9" s="73"/>
      <c r="O9" s="9"/>
      <c r="P9" s="75"/>
      <c r="Q9" s="9"/>
      <c r="R9" s="9"/>
      <c r="S9" s="9"/>
      <c r="T9" s="75"/>
      <c r="U9" s="9"/>
      <c r="V9" s="9"/>
    </row>
    <row r="10" spans="1:22" ht="15" x14ac:dyDescent="0.25">
      <c r="A10" s="9"/>
      <c r="B10" s="28" t="s">
        <v>168</v>
      </c>
      <c r="C10">
        <f>IF(C8&lt;10, IF(C8&lt;1, 0.1, 1), IF(C8&lt;100, 10, 100))</f>
        <v>10</v>
      </c>
      <c r="D10" s="28" t="s">
        <v>8</v>
      </c>
      <c r="G10" s="28" t="s">
        <v>167</v>
      </c>
      <c r="H10">
        <f>IF(H8&lt;10, IF(H8&lt;1, 0.1, 1), IF(H8&lt;100, 10, 100))</f>
        <v>1</v>
      </c>
      <c r="K10" s="70"/>
      <c r="L10" s="9"/>
      <c r="M10" s="9"/>
      <c r="N10" s="73"/>
      <c r="O10" s="9"/>
      <c r="P10" s="75"/>
      <c r="Q10" s="9"/>
      <c r="R10" s="9"/>
      <c r="S10" s="9"/>
      <c r="T10" s="75"/>
      <c r="U10" s="9"/>
      <c r="V10" s="9"/>
    </row>
    <row r="11" spans="1:22" ht="15" x14ac:dyDescent="0.25">
      <c r="A11" s="9"/>
      <c r="B11" s="28" t="s">
        <v>169</v>
      </c>
      <c r="C11">
        <f>C10*10</f>
        <v>100</v>
      </c>
      <c r="D11" s="28" t="s">
        <v>8</v>
      </c>
      <c r="G11" s="28" t="s">
        <v>168</v>
      </c>
      <c r="H11">
        <f>H10*10</f>
        <v>10</v>
      </c>
      <c r="K11" s="70"/>
      <c r="L11" s="9"/>
      <c r="M11" s="9"/>
      <c r="N11" s="9"/>
      <c r="O11" s="9"/>
      <c r="P11" s="75"/>
      <c r="Q11" s="9"/>
      <c r="R11" s="9"/>
      <c r="S11" s="9"/>
      <c r="T11" s="9"/>
      <c r="U11" s="9"/>
      <c r="V11" s="9"/>
    </row>
    <row r="12" spans="1:22" x14ac:dyDescent="0.2">
      <c r="A12" s="9"/>
      <c r="B12" s="28" t="s">
        <v>170</v>
      </c>
      <c r="C12">
        <f>IF(C10=0.1, B4, IF(C10=1, C4, IF(C10=10, D4, E4)))</f>
        <v>6.5</v>
      </c>
      <c r="D12" s="28" t="s">
        <v>27</v>
      </c>
      <c r="G12" s="28" t="s">
        <v>169</v>
      </c>
      <c r="H12">
        <f>IF(H10=0.1, B4, IF(H10=1, C4, IF(H10=10, D4, E4)))</f>
        <v>30</v>
      </c>
      <c r="K12" s="70"/>
      <c r="L12" s="9"/>
      <c r="M12" s="9"/>
      <c r="N12" s="9"/>
      <c r="O12" s="9"/>
      <c r="P12" s="9"/>
      <c r="Q12" s="9"/>
      <c r="R12" s="9"/>
      <c r="S12" s="9"/>
      <c r="T12" s="9"/>
      <c r="U12" s="9"/>
      <c r="V12" s="9"/>
    </row>
    <row r="13" spans="1:22" x14ac:dyDescent="0.2">
      <c r="A13" s="9"/>
      <c r="B13" s="28" t="s">
        <v>171</v>
      </c>
      <c r="C13">
        <f>IF(C11=1000, F4, IF(C11=1, C4, IF(C11=10, D4, E4)))</f>
        <v>2</v>
      </c>
      <c r="D13" s="28" t="s">
        <v>27</v>
      </c>
      <c r="G13" s="28" t="s">
        <v>170</v>
      </c>
      <c r="H13">
        <f>IF(H11=1000, F4, IF(H11=1, C4, IF(H11=10, D4, E4)))</f>
        <v>6.5</v>
      </c>
      <c r="K13" s="70"/>
      <c r="L13" s="9"/>
      <c r="M13" s="9"/>
      <c r="N13" s="9"/>
      <c r="O13" s="9"/>
      <c r="P13" s="9"/>
      <c r="Q13" s="9"/>
      <c r="R13" s="9"/>
      <c r="S13" s="9"/>
      <c r="T13" s="9"/>
      <c r="U13" s="9"/>
      <c r="V13" s="9"/>
    </row>
    <row r="14" spans="1:22" x14ac:dyDescent="0.2">
      <c r="A14" s="9"/>
      <c r="G14" s="28" t="s">
        <v>171</v>
      </c>
      <c r="K14" s="70"/>
      <c r="L14" s="9"/>
      <c r="M14" s="9"/>
      <c r="N14" s="9"/>
      <c r="O14" s="9"/>
      <c r="P14" s="9"/>
      <c r="Q14" s="9"/>
      <c r="R14" s="9"/>
      <c r="S14" s="9"/>
      <c r="T14" s="9"/>
      <c r="U14" s="9"/>
      <c r="V14" s="9"/>
    </row>
    <row r="15" spans="1:22" x14ac:dyDescent="0.2">
      <c r="A15" s="9"/>
      <c r="B15" s="28" t="s">
        <v>175</v>
      </c>
      <c r="K15" s="70"/>
      <c r="L15" s="9"/>
      <c r="M15" s="9"/>
      <c r="N15" s="9"/>
      <c r="O15" s="9"/>
      <c r="P15" s="9"/>
      <c r="Q15" s="9"/>
      <c r="R15" s="9"/>
      <c r="S15" s="9"/>
      <c r="T15" s="9"/>
      <c r="U15" s="9"/>
      <c r="V15" s="9"/>
    </row>
    <row r="16" spans="1:22" x14ac:dyDescent="0.2">
      <c r="A16" s="9"/>
      <c r="F16" s="28"/>
      <c r="G16" s="28" t="s">
        <v>175</v>
      </c>
      <c r="K16" s="70"/>
      <c r="L16" s="9"/>
      <c r="M16" s="9"/>
      <c r="N16" s="9"/>
      <c r="O16" s="9"/>
      <c r="P16" s="9"/>
      <c r="Q16" s="9"/>
      <c r="R16" s="9"/>
      <c r="S16" s="9"/>
      <c r="T16" s="9"/>
      <c r="U16" s="9"/>
      <c r="V16" s="9"/>
    </row>
    <row r="17" spans="1:22" x14ac:dyDescent="0.2">
      <c r="A17" s="9"/>
      <c r="B17" s="28" t="s">
        <v>172</v>
      </c>
      <c r="C17">
        <f>C12/(C10^C18)</f>
        <v>21.125</v>
      </c>
      <c r="F17" s="28"/>
      <c r="G17" s="28" t="s">
        <v>172</v>
      </c>
      <c r="H17">
        <f>H12/H10^H18</f>
        <v>30</v>
      </c>
      <c r="K17" s="70"/>
      <c r="L17" s="9"/>
      <c r="M17" s="9"/>
      <c r="N17" s="9"/>
      <c r="O17" s="9"/>
      <c r="P17" s="9"/>
      <c r="Q17" s="9"/>
      <c r="R17" s="9"/>
      <c r="S17" s="9"/>
      <c r="T17" s="9"/>
      <c r="U17" s="9"/>
      <c r="V17" s="9"/>
    </row>
    <row r="18" spans="1:22" x14ac:dyDescent="0.2">
      <c r="A18" s="9"/>
      <c r="B18" s="28" t="s">
        <v>173</v>
      </c>
      <c r="C18">
        <f>LOG(C12/C13)/LOG(C10/C11)</f>
        <v>-0.51188336097887432</v>
      </c>
      <c r="F18" s="28"/>
      <c r="G18" s="28" t="s">
        <v>173</v>
      </c>
      <c r="H18">
        <f>LOG(H12/H13)/LOG(H10/H11)</f>
        <v>-0.6642078980768068</v>
      </c>
      <c r="K18" s="70"/>
      <c r="L18" s="9"/>
      <c r="M18" s="365"/>
      <c r="N18" s="365"/>
      <c r="O18" s="365"/>
      <c r="P18" s="365"/>
      <c r="Q18" s="9"/>
      <c r="R18" s="9"/>
      <c r="S18" s="9"/>
      <c r="T18" s="9"/>
      <c r="U18" s="9"/>
      <c r="V18" s="9"/>
    </row>
    <row r="19" spans="1:22" x14ac:dyDescent="0.2">
      <c r="A19" s="9"/>
      <c r="B19" s="28" t="s">
        <v>174</v>
      </c>
      <c r="C19">
        <f>C17*C8^C18</f>
        <v>6.3856112488125643</v>
      </c>
      <c r="D19" s="28" t="s">
        <v>27</v>
      </c>
      <c r="G19" s="28" t="s">
        <v>174</v>
      </c>
      <c r="H19">
        <f>H17*H8^H18</f>
        <v>11.761534481154843</v>
      </c>
      <c r="K19" s="70"/>
      <c r="L19" s="9"/>
      <c r="M19" s="9"/>
      <c r="N19" s="9"/>
      <c r="O19" s="9"/>
      <c r="P19" s="9"/>
      <c r="Q19" s="9"/>
      <c r="R19" s="9"/>
      <c r="S19" s="9"/>
      <c r="T19" s="9"/>
      <c r="U19" s="9"/>
      <c r="V19" s="9"/>
    </row>
    <row r="20" spans="1:22" x14ac:dyDescent="0.2">
      <c r="A20" s="9"/>
      <c r="K20" s="70"/>
      <c r="L20" s="9"/>
      <c r="M20" s="73"/>
      <c r="N20" s="9"/>
      <c r="O20" s="9"/>
      <c r="P20" s="9"/>
      <c r="Q20" s="9"/>
      <c r="R20" s="9"/>
      <c r="S20" s="9"/>
      <c r="T20" s="9"/>
      <c r="U20" s="9"/>
      <c r="V20" s="9"/>
    </row>
    <row r="21" spans="1:22" x14ac:dyDescent="0.2">
      <c r="A21" s="9"/>
      <c r="B21" s="208" t="s">
        <v>177</v>
      </c>
      <c r="C21" s="110">
        <f xml:space="preserve"> (C19)*C9</f>
        <v>386.32948055316012</v>
      </c>
      <c r="D21" s="28"/>
      <c r="G21" s="29" t="s">
        <v>177</v>
      </c>
      <c r="H21">
        <f>IF(H8&lt;1, H12, H19)*H9</f>
        <v>711.57283610986804</v>
      </c>
      <c r="K21" s="70"/>
      <c r="L21" s="9"/>
      <c r="M21" s="9"/>
      <c r="N21" s="69"/>
      <c r="O21" s="9"/>
      <c r="P21" s="9"/>
      <c r="Q21" s="9"/>
      <c r="R21" s="9"/>
      <c r="S21" s="9"/>
      <c r="T21" s="9"/>
      <c r="U21" s="9"/>
      <c r="V21" s="9"/>
    </row>
    <row r="22" spans="1:22" x14ac:dyDescent="0.2">
      <c r="A22" s="9"/>
      <c r="K22" s="70"/>
      <c r="L22" s="9"/>
      <c r="M22" s="9"/>
      <c r="N22" s="9"/>
      <c r="O22" s="9"/>
      <c r="P22" s="9"/>
      <c r="Q22" s="9"/>
      <c r="R22" s="9"/>
      <c r="S22" s="9"/>
      <c r="T22" s="9"/>
      <c r="U22" s="9"/>
      <c r="V22" s="9"/>
    </row>
    <row r="23" spans="1:22" x14ac:dyDescent="0.2">
      <c r="A23" s="9"/>
      <c r="G23" s="28" t="s">
        <v>386</v>
      </c>
      <c r="H23" t="str">
        <f>'Design Calculator'!F63</f>
        <v>No</v>
      </c>
      <c r="K23" s="70"/>
      <c r="L23" s="9"/>
      <c r="M23" s="9"/>
      <c r="N23" s="9"/>
      <c r="O23" s="9"/>
      <c r="P23" s="9"/>
      <c r="Q23" s="9"/>
      <c r="R23" s="9"/>
      <c r="S23" s="9"/>
      <c r="T23" s="9"/>
      <c r="U23" s="9"/>
      <c r="V23" s="9"/>
    </row>
    <row r="24" spans="1:22" x14ac:dyDescent="0.2">
      <c r="A24" s="9"/>
      <c r="B24" s="80" t="s">
        <v>183</v>
      </c>
      <c r="C24">
        <f>(TJMAX-TJ)/(TJMAX-25)</f>
        <v>0.52666666666666662</v>
      </c>
      <c r="D24" s="70"/>
      <c r="E24" s="70"/>
      <c r="F24" s="72"/>
      <c r="G24" s="28" t="s">
        <v>385</v>
      </c>
      <c r="H24">
        <f>IF(H23="Yes", TJ,TAMB)</f>
        <v>75</v>
      </c>
      <c r="K24" s="70"/>
      <c r="L24" s="9"/>
      <c r="M24" s="9"/>
      <c r="N24" s="9"/>
      <c r="O24" s="69"/>
      <c r="P24" s="9"/>
      <c r="Q24" s="9"/>
      <c r="R24" s="9"/>
      <c r="S24" s="9"/>
      <c r="T24" s="9"/>
      <c r="U24" s="9"/>
      <c r="V24" s="9"/>
    </row>
    <row r="25" spans="1:22" x14ac:dyDescent="0.2">
      <c r="A25" s="9"/>
      <c r="B25" s="78" t="s">
        <v>178</v>
      </c>
      <c r="C25">
        <f>IF((C21*C24)&lt;0,0.000000001,C21*C24)</f>
        <v>203.46685975799764</v>
      </c>
      <c r="D25" s="79" t="s">
        <v>90</v>
      </c>
      <c r="E25" s="70"/>
      <c r="F25" s="72"/>
      <c r="K25" s="70"/>
      <c r="L25" s="9"/>
      <c r="M25" s="9"/>
      <c r="N25" s="9"/>
      <c r="O25" s="69"/>
      <c r="P25" s="9"/>
      <c r="Q25" s="9"/>
      <c r="R25" s="9"/>
      <c r="S25" s="9"/>
      <c r="T25" s="9"/>
      <c r="U25" s="9"/>
      <c r="V25" s="9"/>
    </row>
    <row r="26" spans="1:22" x14ac:dyDescent="0.2">
      <c r="A26" s="9"/>
      <c r="B26" s="69"/>
      <c r="C26" s="69"/>
      <c r="D26" s="70"/>
      <c r="E26" s="70"/>
      <c r="F26" s="72"/>
      <c r="G26" s="80" t="s">
        <v>183</v>
      </c>
      <c r="H26">
        <f>(TJMAX-H24)/(TJMAX-25)</f>
        <v>0.66666666666666663</v>
      </c>
      <c r="K26" s="70"/>
      <c r="L26" s="9"/>
      <c r="M26" s="9"/>
      <c r="N26" s="9"/>
      <c r="O26" s="9"/>
      <c r="P26" s="9"/>
      <c r="Q26" s="9"/>
      <c r="R26" s="9"/>
      <c r="S26" s="9"/>
      <c r="T26" s="9"/>
      <c r="U26" s="9"/>
      <c r="V26" s="9"/>
    </row>
    <row r="27" spans="1:22" x14ac:dyDescent="0.2">
      <c r="A27" s="9"/>
      <c r="B27" s="69"/>
      <c r="D27" s="70"/>
      <c r="E27" s="70"/>
      <c r="F27" s="72"/>
      <c r="G27" s="78" t="s">
        <v>178</v>
      </c>
      <c r="H27">
        <f>IF((H21*H26)&lt;0,0.000000001,H21*H26)</f>
        <v>474.38189073991202</v>
      </c>
      <c r="K27" s="70"/>
      <c r="L27" s="9"/>
      <c r="M27" s="9"/>
      <c r="N27" s="9"/>
      <c r="O27" s="9"/>
      <c r="P27" s="9"/>
      <c r="Q27" s="9"/>
      <c r="R27" s="9"/>
      <c r="S27" s="9"/>
      <c r="T27" s="9"/>
      <c r="U27" s="9"/>
      <c r="V27" s="9"/>
    </row>
    <row r="28" spans="1:22" x14ac:dyDescent="0.2">
      <c r="A28" s="9"/>
      <c r="B28" s="80" t="s">
        <v>417</v>
      </c>
      <c r="D28" s="70"/>
      <c r="E28" s="70"/>
      <c r="F28" s="72"/>
      <c r="H28" s="9"/>
      <c r="K28" s="70"/>
      <c r="L28" s="9"/>
      <c r="M28" s="9"/>
      <c r="N28" s="9"/>
      <c r="O28" s="9"/>
      <c r="P28" s="9"/>
      <c r="Q28" s="9"/>
      <c r="R28" s="9"/>
      <c r="S28" s="9"/>
      <c r="T28" s="9"/>
      <c r="U28" s="9"/>
      <c r="V28" s="9"/>
    </row>
    <row r="29" spans="1:22" x14ac:dyDescent="0.2">
      <c r="A29" s="9"/>
      <c r="C29" s="74" t="s">
        <v>418</v>
      </c>
      <c r="D29" s="187" t="s">
        <v>419</v>
      </c>
      <c r="E29" s="187" t="s">
        <v>420</v>
      </c>
      <c r="F29" s="187" t="s">
        <v>421</v>
      </c>
      <c r="G29" s="72"/>
      <c r="H29" s="9"/>
      <c r="I29" s="77"/>
      <c r="J29" s="77"/>
      <c r="K29" s="77"/>
      <c r="L29" s="9"/>
      <c r="M29" s="9"/>
      <c r="N29" s="9"/>
      <c r="O29" s="9"/>
      <c r="P29" s="9"/>
      <c r="Q29" s="9"/>
      <c r="R29" s="9"/>
      <c r="S29" s="9"/>
      <c r="T29" s="9"/>
      <c r="U29" s="9"/>
      <c r="V29" s="9"/>
    </row>
    <row r="30" spans="1:22" x14ac:dyDescent="0.2">
      <c r="B30" s="80" t="s">
        <v>422</v>
      </c>
      <c r="C30" s="178">
        <v>0.1</v>
      </c>
      <c r="D30" s="179">
        <v>1</v>
      </c>
      <c r="E30" s="180">
        <v>10</v>
      </c>
      <c r="F30" s="181">
        <v>100</v>
      </c>
      <c r="G30" s="164"/>
      <c r="H30" s="9"/>
      <c r="I30" s="77"/>
      <c r="J30" s="77"/>
      <c r="K30" s="77"/>
      <c r="L30" s="9"/>
      <c r="M30" s="9"/>
      <c r="N30" s="9"/>
      <c r="O30" s="9"/>
      <c r="P30" s="9"/>
      <c r="Q30" s="9"/>
      <c r="R30" s="9"/>
      <c r="S30" s="9"/>
      <c r="T30" s="9"/>
      <c r="U30" s="9"/>
      <c r="V30" s="9"/>
    </row>
    <row r="31" spans="1:22" x14ac:dyDescent="0.2">
      <c r="B31" s="178" t="s">
        <v>423</v>
      </c>
      <c r="C31" s="179">
        <v>1</v>
      </c>
      <c r="D31" s="179">
        <v>10</v>
      </c>
      <c r="E31" s="180">
        <v>100</v>
      </c>
      <c r="F31" s="181">
        <v>1000</v>
      </c>
      <c r="G31" s="78"/>
      <c r="H31" s="9"/>
      <c r="I31" s="9"/>
      <c r="J31" s="9"/>
      <c r="K31" s="9"/>
      <c r="L31" s="9"/>
      <c r="M31" s="9"/>
      <c r="N31" s="9"/>
      <c r="O31" s="9"/>
      <c r="P31" s="9"/>
      <c r="Q31" s="9"/>
      <c r="R31" s="9"/>
      <c r="S31" s="9"/>
      <c r="T31" s="9"/>
      <c r="U31" s="9"/>
      <c r="V31" s="9"/>
    </row>
    <row r="32" spans="1:22" x14ac:dyDescent="0.2">
      <c r="B32" s="178" t="s">
        <v>172</v>
      </c>
      <c r="C32" s="179">
        <f>B4/(C30^C33)</f>
        <v>30.000000000000004</v>
      </c>
      <c r="D32" s="179">
        <f>C4/(D30^D33)</f>
        <v>30</v>
      </c>
      <c r="E32" s="179">
        <f>D4/(E30^E33)</f>
        <v>21.125</v>
      </c>
      <c r="F32" s="179">
        <f>E4/(F30^F33)</f>
        <v>3.5555555555555554</v>
      </c>
      <c r="G32" s="28"/>
      <c r="H32" s="9"/>
      <c r="I32" s="9"/>
      <c r="J32" s="9"/>
      <c r="K32" s="9"/>
      <c r="L32" s="9"/>
      <c r="M32" s="9"/>
      <c r="N32" s="9"/>
      <c r="O32" s="9"/>
      <c r="P32" s="9"/>
      <c r="Q32" s="9"/>
      <c r="R32" s="9"/>
      <c r="S32" s="9"/>
      <c r="T32" s="9"/>
      <c r="U32" s="9"/>
      <c r="V32" s="9"/>
    </row>
    <row r="33" spans="2:22" x14ac:dyDescent="0.2">
      <c r="B33" s="178" t="s">
        <v>173</v>
      </c>
      <c r="C33" s="18">
        <f>LOG(B4/C4)/LOG(C30/C31)</f>
        <v>-0.52287874528033762</v>
      </c>
      <c r="D33" s="18">
        <f>LOG(C4/D4)/LOG(D30/D31)</f>
        <v>-0.6642078980768068</v>
      </c>
      <c r="E33" s="18">
        <f t="shared" ref="E33:F33" si="0">LOG(D4/E4)/LOG(E30/E31)</f>
        <v>-0.51188336097887432</v>
      </c>
      <c r="F33" s="18">
        <f t="shared" si="0"/>
        <v>-0.12493873660829993</v>
      </c>
      <c r="G33" s="28"/>
      <c r="H33" s="9"/>
      <c r="I33" s="9"/>
      <c r="J33" s="9"/>
      <c r="K33" s="9"/>
      <c r="L33" s="9"/>
      <c r="M33" s="9"/>
      <c r="N33" s="9"/>
      <c r="O33" s="9"/>
      <c r="P33" s="9"/>
      <c r="Q33" s="9"/>
      <c r="R33" s="9"/>
      <c r="S33" s="9"/>
      <c r="T33" s="9"/>
      <c r="U33" s="9"/>
      <c r="V33" s="9"/>
    </row>
    <row r="34" spans="2:22" x14ac:dyDescent="0.2">
      <c r="E34" s="70"/>
      <c r="F34" s="9"/>
      <c r="G34" s="28"/>
      <c r="H34" s="9"/>
      <c r="I34" s="9"/>
      <c r="J34" s="9"/>
      <c r="K34" s="9"/>
      <c r="L34" s="9"/>
      <c r="M34" s="9"/>
      <c r="N34" s="9"/>
      <c r="O34" s="9"/>
      <c r="P34" s="9"/>
      <c r="Q34" s="9"/>
      <c r="R34" s="9"/>
      <c r="S34" s="9"/>
      <c r="T34" s="9"/>
      <c r="U34" s="9"/>
      <c r="V34" s="9"/>
    </row>
    <row r="35" spans="2:22" x14ac:dyDescent="0.2">
      <c r="E35" s="70"/>
      <c r="F35" s="9"/>
      <c r="G35" s="28"/>
      <c r="H35" s="9"/>
      <c r="I35" s="9"/>
      <c r="J35" s="9"/>
      <c r="K35" s="9"/>
      <c r="L35" s="9"/>
      <c r="M35" s="9"/>
      <c r="N35" s="9"/>
      <c r="O35" s="9"/>
      <c r="P35" s="9"/>
      <c r="Q35" s="9"/>
      <c r="R35" s="9"/>
      <c r="S35" s="9"/>
      <c r="T35" s="9"/>
      <c r="U35" s="9"/>
      <c r="V35" s="9"/>
    </row>
    <row r="36" spans="2:22" x14ac:dyDescent="0.2">
      <c r="E36" s="70"/>
      <c r="F36" s="9"/>
      <c r="G36" s="28"/>
      <c r="H36" s="9"/>
      <c r="I36" s="9"/>
      <c r="J36" s="9"/>
      <c r="K36" s="9"/>
      <c r="L36" s="9"/>
      <c r="M36" s="9"/>
      <c r="N36" s="9"/>
      <c r="O36" s="9"/>
      <c r="P36" s="9"/>
      <c r="Q36" s="9"/>
      <c r="R36" s="9"/>
      <c r="S36" s="9"/>
      <c r="T36" s="9"/>
      <c r="U36" s="9"/>
      <c r="V36" s="9"/>
    </row>
    <row r="37" spans="2:22" x14ac:dyDescent="0.2">
      <c r="E37" s="70"/>
      <c r="F37" s="9"/>
      <c r="G37" s="28"/>
      <c r="H37" s="9"/>
      <c r="I37" s="9"/>
      <c r="J37" s="9"/>
      <c r="K37" s="9"/>
      <c r="L37" s="9"/>
      <c r="M37" s="9"/>
      <c r="N37" s="9"/>
      <c r="O37" s="9"/>
      <c r="P37" s="9"/>
      <c r="Q37" s="9"/>
      <c r="R37" s="9"/>
      <c r="S37" s="9"/>
      <c r="T37" s="9"/>
      <c r="U37" s="9"/>
      <c r="V37" s="9"/>
    </row>
    <row r="38" spans="2:22" x14ac:dyDescent="0.2">
      <c r="E38" s="70"/>
      <c r="F38" s="9"/>
      <c r="H38" s="9"/>
      <c r="I38" s="9"/>
      <c r="J38" s="9"/>
      <c r="K38" s="9"/>
      <c r="L38" s="9"/>
      <c r="M38" s="9"/>
      <c r="N38" s="9"/>
      <c r="O38" s="9"/>
      <c r="P38" s="9"/>
      <c r="Q38" s="9"/>
      <c r="R38" s="9"/>
      <c r="S38" s="9"/>
      <c r="T38" s="9"/>
      <c r="U38" s="9"/>
      <c r="V38" s="9"/>
    </row>
    <row r="39" spans="2:22" x14ac:dyDescent="0.2">
      <c r="E39" s="70"/>
      <c r="F39" s="9"/>
      <c r="G39" s="28"/>
      <c r="H39" s="9"/>
      <c r="I39" s="9"/>
      <c r="J39" s="9"/>
      <c r="K39" s="9"/>
      <c r="L39" s="9"/>
      <c r="M39" s="9"/>
      <c r="N39" s="9"/>
      <c r="O39" s="9"/>
      <c r="P39" s="9"/>
      <c r="Q39" s="9"/>
      <c r="R39" s="9"/>
      <c r="S39" s="9"/>
      <c r="T39" s="9"/>
      <c r="U39" s="9"/>
      <c r="V39" s="9"/>
    </row>
    <row r="40" spans="2:22" x14ac:dyDescent="0.2">
      <c r="E40" s="70"/>
      <c r="F40" s="9"/>
      <c r="H40" s="9"/>
      <c r="I40" s="9"/>
      <c r="J40" s="9"/>
      <c r="K40" s="9"/>
      <c r="L40" s="9"/>
      <c r="M40" s="9"/>
      <c r="N40" s="9"/>
      <c r="O40" s="9"/>
      <c r="P40" s="9"/>
      <c r="Q40" s="9"/>
      <c r="R40" s="9"/>
      <c r="S40" s="9"/>
      <c r="T40" s="9"/>
      <c r="U40" s="9"/>
      <c r="V40" s="9"/>
    </row>
    <row r="41" spans="2:22" x14ac:dyDescent="0.2">
      <c r="E41" s="70"/>
      <c r="F41" s="9"/>
      <c r="G41" s="28"/>
      <c r="H41" s="9"/>
      <c r="I41" s="9"/>
      <c r="J41" s="9"/>
      <c r="K41" s="9"/>
      <c r="L41" s="9"/>
      <c r="M41" s="9"/>
      <c r="N41" s="9"/>
      <c r="O41" s="9"/>
      <c r="P41" s="9"/>
      <c r="Q41" s="9"/>
      <c r="R41" s="9"/>
      <c r="S41" s="9"/>
      <c r="T41" s="9"/>
      <c r="U41" s="9"/>
      <c r="V41" s="9"/>
    </row>
    <row r="42" spans="2:22" x14ac:dyDescent="0.2">
      <c r="E42" s="70"/>
      <c r="F42" s="9"/>
      <c r="G42" s="28"/>
      <c r="H42" s="9"/>
      <c r="I42" s="9"/>
      <c r="J42" s="9"/>
      <c r="K42" s="9"/>
      <c r="L42" s="9"/>
      <c r="M42" s="9"/>
      <c r="N42" s="9"/>
      <c r="O42" s="9"/>
      <c r="P42" s="9"/>
      <c r="Q42" s="9"/>
      <c r="R42" s="9"/>
      <c r="S42" s="9"/>
      <c r="T42" s="9"/>
      <c r="U42" s="9"/>
      <c r="V42" s="9"/>
    </row>
    <row r="43" spans="2:22" x14ac:dyDescent="0.2">
      <c r="E43" s="70"/>
      <c r="F43" s="9"/>
      <c r="G43" s="28"/>
      <c r="H43" s="9"/>
      <c r="I43" s="9"/>
      <c r="J43" s="9"/>
      <c r="K43" s="9"/>
      <c r="L43" s="9"/>
      <c r="M43" s="9"/>
      <c r="N43" s="9"/>
      <c r="O43" s="9"/>
      <c r="P43" s="9"/>
      <c r="Q43" s="9"/>
      <c r="R43" s="9"/>
      <c r="S43" s="9"/>
      <c r="T43" s="9"/>
      <c r="U43" s="9"/>
      <c r="V43" s="9"/>
    </row>
    <row r="44" spans="2:22" x14ac:dyDescent="0.2">
      <c r="E44" s="70"/>
      <c r="F44" s="9"/>
      <c r="H44" s="9"/>
      <c r="I44" s="9"/>
      <c r="J44" s="9"/>
      <c r="K44" s="9"/>
      <c r="L44" s="9"/>
      <c r="M44" s="9"/>
      <c r="N44" s="9"/>
      <c r="O44" s="9"/>
      <c r="P44" s="9"/>
      <c r="Q44" s="9"/>
      <c r="R44" s="9"/>
      <c r="S44" s="9"/>
      <c r="T44" s="9"/>
      <c r="U44" s="9"/>
      <c r="V44" s="9"/>
    </row>
    <row r="45" spans="2:22" x14ac:dyDescent="0.2">
      <c r="E45" s="70"/>
      <c r="F45" s="9"/>
      <c r="G45" s="29"/>
      <c r="H45" s="9"/>
      <c r="I45" s="9"/>
      <c r="J45" s="9"/>
      <c r="K45" s="9"/>
      <c r="L45" s="9"/>
      <c r="M45" s="9"/>
      <c r="N45" s="9"/>
      <c r="O45" s="9"/>
      <c r="P45" s="9"/>
      <c r="Q45" s="9"/>
      <c r="R45" s="9"/>
      <c r="S45" s="9"/>
      <c r="T45" s="9"/>
      <c r="U45" s="9"/>
      <c r="V45" s="9"/>
    </row>
    <row r="46" spans="2:22" x14ac:dyDescent="0.2">
      <c r="E46" s="70"/>
      <c r="F46" s="9"/>
      <c r="H46" s="9"/>
      <c r="I46" s="9"/>
      <c r="J46" s="9"/>
      <c r="K46" s="9"/>
      <c r="L46" s="9"/>
      <c r="M46" s="9"/>
      <c r="N46" s="9"/>
      <c r="O46" s="9"/>
      <c r="P46" s="9"/>
      <c r="Q46" s="9"/>
      <c r="R46" s="9"/>
      <c r="S46" s="9"/>
      <c r="T46" s="9"/>
      <c r="U46" s="9"/>
      <c r="V46" s="9"/>
    </row>
    <row r="47" spans="2:22" x14ac:dyDescent="0.2">
      <c r="E47" s="70"/>
      <c r="F47" s="9"/>
      <c r="H47" s="9"/>
      <c r="I47" s="9"/>
      <c r="J47" s="9"/>
      <c r="K47" s="9"/>
      <c r="L47" s="9"/>
      <c r="M47" s="9"/>
      <c r="N47" s="9"/>
      <c r="O47" s="9"/>
      <c r="P47" s="9"/>
      <c r="Q47" s="9"/>
      <c r="R47" s="9"/>
      <c r="S47" s="9"/>
      <c r="T47" s="9"/>
      <c r="U47" s="9"/>
      <c r="V47" s="9"/>
    </row>
    <row r="48" spans="2:22" x14ac:dyDescent="0.2">
      <c r="E48" s="70"/>
      <c r="F48" s="9"/>
      <c r="G48" s="80"/>
      <c r="H48" s="9"/>
      <c r="I48" s="9"/>
      <c r="J48" s="9"/>
      <c r="K48" s="9"/>
      <c r="L48" s="9"/>
      <c r="M48" s="9"/>
      <c r="N48" s="9"/>
      <c r="O48" s="9"/>
      <c r="P48" s="9"/>
      <c r="Q48" s="9"/>
      <c r="R48" s="9"/>
      <c r="S48" s="9"/>
      <c r="T48" s="9"/>
      <c r="U48" s="9"/>
      <c r="V48" s="9"/>
    </row>
    <row r="49" spans="1:22" x14ac:dyDescent="0.2">
      <c r="E49" s="70"/>
      <c r="F49" s="9"/>
      <c r="G49" s="78"/>
      <c r="H49" s="9"/>
      <c r="I49" s="9"/>
      <c r="J49" s="9"/>
      <c r="K49" s="9"/>
      <c r="L49" s="9"/>
      <c r="M49" s="9"/>
      <c r="N49" s="9"/>
      <c r="O49" s="9"/>
      <c r="P49" s="9"/>
      <c r="Q49" s="9"/>
      <c r="R49" s="9"/>
      <c r="S49" s="9"/>
      <c r="T49" s="9"/>
      <c r="U49" s="9"/>
      <c r="V49" s="9"/>
    </row>
    <row r="50" spans="1:22" x14ac:dyDescent="0.2">
      <c r="E50" s="70"/>
      <c r="F50" s="72"/>
      <c r="G50" s="72"/>
      <c r="H50" s="9"/>
      <c r="I50" s="9"/>
      <c r="J50" s="9"/>
      <c r="K50" s="9"/>
      <c r="L50" s="9"/>
      <c r="M50" s="9"/>
      <c r="N50" s="9"/>
      <c r="O50" s="9"/>
      <c r="P50" s="9"/>
      <c r="Q50" s="9"/>
      <c r="R50" s="9"/>
      <c r="S50" s="9"/>
      <c r="T50" s="9"/>
      <c r="U50" s="9"/>
      <c r="V50" s="9"/>
    </row>
    <row r="51" spans="1:22" x14ac:dyDescent="0.2">
      <c r="E51" s="70"/>
      <c r="F51" s="72"/>
      <c r="G51" s="72"/>
      <c r="H51" s="9"/>
      <c r="I51" s="9"/>
      <c r="J51" s="9"/>
      <c r="K51" s="9"/>
      <c r="L51" s="9"/>
      <c r="M51" s="9"/>
      <c r="N51" s="9"/>
      <c r="O51" s="9"/>
      <c r="P51" s="9"/>
      <c r="Q51" s="9"/>
      <c r="R51" s="9"/>
      <c r="S51" s="9"/>
      <c r="T51" s="9"/>
      <c r="U51" s="9"/>
      <c r="V51" s="9"/>
    </row>
    <row r="52" spans="1:22" x14ac:dyDescent="0.2">
      <c r="A52" s="9"/>
      <c r="B52" s="9"/>
      <c r="C52" s="69"/>
      <c r="D52" s="70"/>
      <c r="E52" s="70"/>
      <c r="F52" s="72"/>
      <c r="G52" s="72"/>
      <c r="H52" s="9"/>
      <c r="I52" s="9"/>
      <c r="J52" s="9"/>
      <c r="K52" s="9"/>
      <c r="L52" s="9"/>
      <c r="M52" s="9"/>
      <c r="N52" s="9"/>
      <c r="O52" s="9"/>
      <c r="P52" s="9"/>
      <c r="Q52" s="9"/>
      <c r="R52" s="9"/>
      <c r="S52" s="9"/>
      <c r="T52" s="9"/>
      <c r="U52" s="9"/>
      <c r="V52" s="9"/>
    </row>
    <row r="53" spans="1:22" x14ac:dyDescent="0.2">
      <c r="A53" s="9"/>
      <c r="B53" s="9"/>
      <c r="C53" s="69"/>
      <c r="D53" s="70"/>
      <c r="E53" s="70"/>
      <c r="F53" s="72"/>
      <c r="G53" s="72"/>
      <c r="H53" s="9"/>
      <c r="I53" s="9"/>
      <c r="J53" s="9"/>
      <c r="K53" s="9"/>
      <c r="L53" s="9"/>
      <c r="M53" s="9"/>
      <c r="N53" s="9"/>
      <c r="O53" s="9"/>
      <c r="P53" s="9"/>
      <c r="Q53" s="9"/>
      <c r="R53" s="9"/>
      <c r="S53" s="9"/>
      <c r="T53" s="9"/>
      <c r="U53" s="9"/>
      <c r="V53" s="9"/>
    </row>
    <row r="54" spans="1:22" x14ac:dyDescent="0.2">
      <c r="A54" s="9"/>
      <c r="B54" s="9"/>
      <c r="C54" s="69"/>
      <c r="D54" s="70"/>
      <c r="E54" s="70"/>
      <c r="F54" s="72"/>
      <c r="G54" s="72"/>
      <c r="H54" s="9"/>
      <c r="I54" s="9"/>
      <c r="J54" s="9"/>
      <c r="K54" s="9"/>
      <c r="L54" s="9"/>
      <c r="M54" s="9"/>
      <c r="N54" s="9"/>
      <c r="O54" s="9"/>
      <c r="P54" s="9"/>
      <c r="Q54" s="9"/>
      <c r="R54" s="9"/>
      <c r="S54" s="9"/>
      <c r="T54" s="9"/>
      <c r="U54" s="9"/>
      <c r="V54" s="9"/>
    </row>
    <row r="55" spans="1:22" x14ac:dyDescent="0.2">
      <c r="A55" s="9"/>
      <c r="B55" s="9"/>
      <c r="C55" s="69"/>
      <c r="D55" s="70"/>
      <c r="E55" s="70"/>
      <c r="F55" s="72"/>
      <c r="G55" s="72"/>
      <c r="H55" s="9"/>
      <c r="I55" s="9"/>
      <c r="J55" s="9"/>
      <c r="K55" s="9"/>
      <c r="L55" s="9"/>
      <c r="M55" s="9"/>
      <c r="N55" s="9"/>
      <c r="O55" s="9"/>
      <c r="P55" s="9"/>
      <c r="Q55" s="9"/>
      <c r="R55" s="9"/>
      <c r="S55" s="9"/>
      <c r="T55" s="9"/>
      <c r="U55" s="9"/>
      <c r="V55" s="9"/>
    </row>
    <row r="56" spans="1:22" x14ac:dyDescent="0.2">
      <c r="A56" s="9"/>
      <c r="B56" s="9"/>
      <c r="C56" s="69"/>
      <c r="D56" s="70"/>
      <c r="E56" s="70"/>
      <c r="F56" s="72"/>
      <c r="G56" s="72"/>
    </row>
    <row r="57" spans="1:22" x14ac:dyDescent="0.2">
      <c r="A57" s="9"/>
      <c r="B57" s="9"/>
      <c r="C57" s="69"/>
      <c r="D57" s="70"/>
      <c r="E57" s="70"/>
      <c r="F57" s="72"/>
      <c r="G57" s="72"/>
    </row>
    <row r="58" spans="1:22" x14ac:dyDescent="0.2">
      <c r="A58" s="9"/>
      <c r="B58" s="9"/>
      <c r="C58" s="69"/>
      <c r="D58" s="70"/>
      <c r="E58" s="70"/>
      <c r="F58" s="72"/>
      <c r="G58" s="72"/>
    </row>
    <row r="59" spans="1:22" x14ac:dyDescent="0.2">
      <c r="A59" s="9"/>
      <c r="B59" s="9"/>
      <c r="C59" s="69"/>
      <c r="D59" s="70"/>
      <c r="E59" s="70"/>
      <c r="F59" s="72"/>
      <c r="G59" s="72"/>
    </row>
    <row r="60" spans="1:22" x14ac:dyDescent="0.2">
      <c r="A60" s="9"/>
      <c r="B60" s="9"/>
      <c r="C60" s="69"/>
      <c r="D60" s="70"/>
      <c r="E60" s="70"/>
      <c r="F60" s="72"/>
      <c r="G60" s="72"/>
    </row>
    <row r="61" spans="1:22" x14ac:dyDescent="0.2">
      <c r="A61" s="9"/>
      <c r="B61" s="9"/>
      <c r="C61" s="69"/>
      <c r="D61" s="70"/>
      <c r="E61" s="70"/>
      <c r="F61" s="72"/>
      <c r="G61" s="72"/>
    </row>
    <row r="62" spans="1:22" x14ac:dyDescent="0.2">
      <c r="A62" s="9"/>
      <c r="B62" s="9"/>
      <c r="C62" s="69"/>
      <c r="D62" s="70"/>
      <c r="E62" s="70"/>
      <c r="F62" s="72"/>
      <c r="G62" s="72"/>
    </row>
    <row r="63" spans="1:22" x14ac:dyDescent="0.2">
      <c r="A63" s="9"/>
      <c r="B63" s="9"/>
      <c r="C63" s="69"/>
      <c r="D63" s="70"/>
      <c r="E63" s="70"/>
      <c r="F63" s="72"/>
      <c r="G63" s="72"/>
    </row>
    <row r="64" spans="1:22" x14ac:dyDescent="0.2">
      <c r="A64" s="9"/>
      <c r="B64" s="9"/>
      <c r="C64" s="69"/>
      <c r="D64" s="70"/>
      <c r="E64" s="70"/>
      <c r="F64" s="72"/>
      <c r="G64" s="72"/>
    </row>
    <row r="65" spans="1:7" x14ac:dyDescent="0.2">
      <c r="A65" s="9"/>
      <c r="B65" s="9"/>
      <c r="C65" s="69"/>
      <c r="D65" s="70"/>
      <c r="E65" s="70"/>
      <c r="F65" s="72"/>
      <c r="G65" s="72"/>
    </row>
    <row r="66" spans="1:7" x14ac:dyDescent="0.2">
      <c r="A66" s="9"/>
      <c r="B66" s="9"/>
      <c r="C66" s="69"/>
      <c r="D66" s="70"/>
      <c r="E66" s="70"/>
      <c r="F66" s="72"/>
      <c r="G66" s="72"/>
    </row>
    <row r="67" spans="1:7" x14ac:dyDescent="0.2">
      <c r="A67" s="9"/>
      <c r="B67" s="9"/>
      <c r="C67" s="69"/>
      <c r="D67" s="70"/>
      <c r="E67" s="70"/>
      <c r="F67" s="72"/>
      <c r="G67" s="72"/>
    </row>
    <row r="68" spans="1:7" x14ac:dyDescent="0.2">
      <c r="A68" s="9"/>
      <c r="B68" s="9"/>
      <c r="C68" s="69"/>
      <c r="D68" s="70"/>
      <c r="E68" s="70"/>
      <c r="F68" s="72"/>
      <c r="G68" s="72"/>
    </row>
    <row r="69" spans="1:7" x14ac:dyDescent="0.2">
      <c r="A69" s="9"/>
      <c r="B69" s="9"/>
    </row>
  </sheetData>
  <mergeCells count="4">
    <mergeCell ref="C2:E2"/>
    <mergeCell ref="N5:P5"/>
    <mergeCell ref="R5:T5"/>
    <mergeCell ref="M18:P18"/>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59"/>
  <sheetViews>
    <sheetView topLeftCell="C3" zoomScale="85" zoomScaleNormal="85" workbookViewId="0">
      <selection activeCell="K8" sqref="K8"/>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28" t="s">
        <v>393</v>
      </c>
    </row>
    <row r="7" spans="3:4" x14ac:dyDescent="0.2">
      <c r="C7" s="28" t="s">
        <v>394</v>
      </c>
    </row>
    <row r="8" spans="3:4" x14ac:dyDescent="0.2">
      <c r="C8" s="28" t="s">
        <v>395</v>
      </c>
    </row>
    <row r="10" spans="3:4" x14ac:dyDescent="0.2">
      <c r="C10" s="28" t="s">
        <v>396</v>
      </c>
    </row>
    <row r="11" spans="3:4" x14ac:dyDescent="0.2">
      <c r="C11" s="28" t="s">
        <v>397</v>
      </c>
    </row>
    <row r="12" spans="3:4" x14ac:dyDescent="0.2">
      <c r="C12" s="28" t="s">
        <v>398</v>
      </c>
    </row>
    <row r="13" spans="3:4" x14ac:dyDescent="0.2">
      <c r="C13" s="28" t="s">
        <v>399</v>
      </c>
    </row>
    <row r="14" spans="3:4" x14ac:dyDescent="0.2">
      <c r="C14" s="28" t="s">
        <v>410</v>
      </c>
      <c r="D14" s="28" t="s">
        <v>411</v>
      </c>
    </row>
    <row r="15" spans="3:4" ht="12" customHeight="1" x14ac:dyDescent="0.2">
      <c r="C15" s="28"/>
      <c r="D15" s="28" t="s">
        <v>413</v>
      </c>
    </row>
    <row r="16" spans="3:4" ht="12" customHeight="1" x14ac:dyDescent="0.2">
      <c r="C16" s="28"/>
      <c r="D16" s="28"/>
    </row>
    <row r="17" spans="3:13" ht="12" customHeight="1" x14ac:dyDescent="0.2">
      <c r="C17" s="28"/>
      <c r="D17" s="28"/>
    </row>
    <row r="18" spans="3:13" ht="12" customHeight="1" x14ac:dyDescent="0.2">
      <c r="C18" s="28"/>
      <c r="D18" s="74" t="s">
        <v>428</v>
      </c>
    </row>
    <row r="19" spans="3:13" x14ac:dyDescent="0.2">
      <c r="C19" s="28"/>
      <c r="D19" s="28" t="s">
        <v>426</v>
      </c>
      <c r="E19">
        <f>SOA!H24</f>
        <v>75</v>
      </c>
    </row>
    <row r="20" spans="3:13" x14ac:dyDescent="0.2">
      <c r="D20" s="28" t="s">
        <v>408</v>
      </c>
      <c r="E20">
        <v>1.3</v>
      </c>
      <c r="I20" s="80" t="s">
        <v>417</v>
      </c>
      <c r="K20" s="180"/>
      <c r="L20" s="180"/>
      <c r="M20" s="180"/>
    </row>
    <row r="21" spans="3:13" x14ac:dyDescent="0.2">
      <c r="D21" s="28" t="s">
        <v>400</v>
      </c>
      <c r="E21">
        <f>1/2*COUTMAX*VINMAX^2*0.000001</f>
        <v>0.64054374999999997</v>
      </c>
      <c r="J21" s="74" t="s">
        <v>418</v>
      </c>
      <c r="K21" s="187" t="s">
        <v>419</v>
      </c>
      <c r="L21" s="187" t="s">
        <v>420</v>
      </c>
      <c r="M21" s="187" t="s">
        <v>421</v>
      </c>
    </row>
    <row r="22" spans="3:13" x14ac:dyDescent="0.2">
      <c r="D22" s="28" t="s">
        <v>402</v>
      </c>
      <c r="E22">
        <f>Equations!F67-E21</f>
        <v>-6.1216712326767064E-3</v>
      </c>
      <c r="I22" s="80" t="s">
        <v>422</v>
      </c>
      <c r="J22" s="178">
        <v>0.1</v>
      </c>
      <c r="K22" s="179">
        <v>1</v>
      </c>
      <c r="L22" s="180">
        <v>10</v>
      </c>
      <c r="M22" s="181">
        <v>100</v>
      </c>
    </row>
    <row r="23" spans="3:13" x14ac:dyDescent="0.2">
      <c r="D23" s="28" t="s">
        <v>403</v>
      </c>
      <c r="E23">
        <f>Equations!F66</f>
        <v>116.34615384615384</v>
      </c>
      <c r="I23" s="178" t="s">
        <v>423</v>
      </c>
      <c r="J23" s="179">
        <v>1</v>
      </c>
      <c r="K23" s="179">
        <v>10</v>
      </c>
      <c r="L23" s="180">
        <v>100</v>
      </c>
      <c r="M23" s="181">
        <v>1000</v>
      </c>
    </row>
    <row r="24" spans="3:13" x14ac:dyDescent="0.2">
      <c r="I24" s="178" t="s">
        <v>172</v>
      </c>
      <c r="J24" s="179">
        <f>SOA!C32</f>
        <v>30.000000000000004</v>
      </c>
      <c r="K24" s="179">
        <f>SOA!D32</f>
        <v>30</v>
      </c>
      <c r="L24" s="179">
        <f>SOA!E32</f>
        <v>21.125</v>
      </c>
      <c r="M24" s="179">
        <f>SOA!F32</f>
        <v>3.5555555555555554</v>
      </c>
    </row>
    <row r="25" spans="3:13" x14ac:dyDescent="0.2">
      <c r="D25" t="s">
        <v>179</v>
      </c>
      <c r="E25">
        <f>'Design Calculator'!F52</f>
        <v>1</v>
      </c>
      <c r="I25" s="178" t="s">
        <v>173</v>
      </c>
      <c r="J25" s="179">
        <f>SOA!C33</f>
        <v>-0.52287874528033762</v>
      </c>
      <c r="K25" s="179">
        <f>SOA!D33</f>
        <v>-0.6642078980768068</v>
      </c>
      <c r="L25" s="179">
        <f>SOA!E33</f>
        <v>-0.51188336097887432</v>
      </c>
      <c r="M25" s="179">
        <f>SOA!F33</f>
        <v>-0.12493873660829993</v>
      </c>
    </row>
    <row r="26" spans="3:13" x14ac:dyDescent="0.2">
      <c r="D26" t="s">
        <v>124</v>
      </c>
      <c r="E26" t="str">
        <f>'Design Calculator'!F53</f>
        <v>Constant Current</v>
      </c>
    </row>
    <row r="27" spans="3:13" x14ac:dyDescent="0.2">
      <c r="D27" t="s">
        <v>125</v>
      </c>
      <c r="E27">
        <f>'Design Calculator'!F54</f>
        <v>6</v>
      </c>
      <c r="I27" s="177" t="s">
        <v>441</v>
      </c>
      <c r="J27" s="74" t="s">
        <v>137</v>
      </c>
    </row>
    <row r="28" spans="3:13" x14ac:dyDescent="0.2">
      <c r="G28" t="s">
        <v>439</v>
      </c>
      <c r="I28" s="4">
        <f>SUM(E58:X58)</f>
        <v>12</v>
      </c>
      <c r="J28" s="4">
        <f>IF(I28=0, "NA", I28/AVERAGE(1, E32))</f>
        <v>13.662394164676858</v>
      </c>
    </row>
    <row r="29" spans="3:13" x14ac:dyDescent="0.2">
      <c r="D29" s="28" t="s">
        <v>438</v>
      </c>
      <c r="E29">
        <f>12/1</f>
        <v>12</v>
      </c>
      <c r="G29" t="s">
        <v>440</v>
      </c>
      <c r="I29" s="4">
        <f>SUM(E59:X59)</f>
        <v>5.9999999999999984E-2</v>
      </c>
      <c r="J29" s="4">
        <f>IF(I29=0, "NA", I29*AVERAGE(1,E32))</f>
        <v>5.2699401826768279E-2</v>
      </c>
    </row>
    <row r="30" spans="3:13" x14ac:dyDescent="0.2">
      <c r="D30" s="28" t="s">
        <v>429</v>
      </c>
      <c r="E30">
        <f>12/200</f>
        <v>0.06</v>
      </c>
    </row>
    <row r="31" spans="3:13" x14ac:dyDescent="0.2">
      <c r="D31" s="28" t="s">
        <v>430</v>
      </c>
      <c r="E31">
        <v>20</v>
      </c>
    </row>
    <row r="32" spans="3:13" x14ac:dyDescent="0.2">
      <c r="D32" s="28" t="s">
        <v>431</v>
      </c>
      <c r="E32">
        <f>(E30/E29)^(1/(E31-1))</f>
        <v>0.75664672755894302</v>
      </c>
    </row>
    <row r="33" spans="4:24" x14ac:dyDescent="0.2">
      <c r="D33" s="28"/>
    </row>
    <row r="34" spans="4:24" x14ac:dyDescent="0.2">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
      <c r="D35" s="186" t="s">
        <v>401</v>
      </c>
      <c r="E35" s="186">
        <f>E29</f>
        <v>12</v>
      </c>
      <c r="F35" s="186">
        <f>E35*$E$32</f>
        <v>9.0797607307073172</v>
      </c>
      <c r="G35" s="186">
        <f t="shared" ref="G35:X35" si="0">F35*$E$32</f>
        <v>6.8701712439078886</v>
      </c>
      <c r="H35" s="186">
        <f t="shared" si="0"/>
        <v>5.198292589472457</v>
      </c>
      <c r="I35" s="186">
        <f t="shared" si="0"/>
        <v>3.9332710767182384</v>
      </c>
      <c r="J35" s="186">
        <f t="shared" si="0"/>
        <v>2.9760966888010953</v>
      </c>
      <c r="K35" s="186">
        <f t="shared" si="0"/>
        <v>2.2518538204803549</v>
      </c>
      <c r="L35" s="186">
        <f t="shared" si="0"/>
        <v>1.7038578242075642</v>
      </c>
      <c r="M35" s="186">
        <f t="shared" si="0"/>
        <v>1.2892184469123542</v>
      </c>
      <c r="N35" s="186">
        <f t="shared" si="0"/>
        <v>0.97548291896485573</v>
      </c>
      <c r="O35" s="186">
        <f t="shared" si="0"/>
        <v>0.73809595842440368</v>
      </c>
      <c r="P35" s="186">
        <f t="shared" si="0"/>
        <v>0.55847789156630667</v>
      </c>
      <c r="Q35" s="186">
        <f t="shared" si="0"/>
        <v>0.42257046906766416</v>
      </c>
      <c r="R35" s="186">
        <f t="shared" si="0"/>
        <v>0.31973656258309563</v>
      </c>
      <c r="S35" s="186">
        <f t="shared" si="0"/>
        <v>0.24192762375944449</v>
      </c>
      <c r="T35" s="186">
        <f t="shared" si="0"/>
        <v>0.18305374482369485</v>
      </c>
      <c r="U35" s="186">
        <f t="shared" si="0"/>
        <v>0.13850701698825851</v>
      </c>
      <c r="V35" s="186">
        <f t="shared" si="0"/>
        <v>0.10480088114811673</v>
      </c>
      <c r="W35" s="186">
        <f t="shared" si="0"/>
        <v>7.929724376601624E-2</v>
      </c>
      <c r="X35" s="186">
        <f t="shared" si="0"/>
        <v>5.9999999999999984E-2</v>
      </c>
    </row>
    <row r="36" spans="4:24" x14ac:dyDescent="0.2">
      <c r="D36" s="28" t="s">
        <v>404</v>
      </c>
      <c r="E36">
        <f t="shared" ref="E36:X36" si="1">VINMAX/E35</f>
        <v>5.041666666666667</v>
      </c>
      <c r="F36">
        <f t="shared" si="1"/>
        <v>6.6631711775610878</v>
      </c>
      <c r="G36">
        <f t="shared" si="1"/>
        <v>8.8061851520292542</v>
      </c>
      <c r="H36">
        <f t="shared" si="1"/>
        <v>11.638436844152279</v>
      </c>
      <c r="I36">
        <f t="shared" si="1"/>
        <v>15.381599391435472</v>
      </c>
      <c r="J36">
        <f t="shared" si="1"/>
        <v>20.328640607564434</v>
      </c>
      <c r="K36">
        <f t="shared" si="1"/>
        <v>26.866752828162898</v>
      </c>
      <c r="L36">
        <f t="shared" si="1"/>
        <v>35.507657470269002</v>
      </c>
      <c r="M36">
        <f t="shared" si="1"/>
        <v>46.927656166335488</v>
      </c>
      <c r="N36">
        <f t="shared" si="1"/>
        <v>62.02056317316169</v>
      </c>
      <c r="O36">
        <f t="shared" si="1"/>
        <v>81.967661940796901</v>
      </c>
      <c r="P36">
        <f t="shared" si="1"/>
        <v>108.33016116416309</v>
      </c>
      <c r="Q36">
        <f t="shared" si="1"/>
        <v>143.17138661744116</v>
      </c>
      <c r="R36">
        <f t="shared" si="1"/>
        <v>189.21827241536315</v>
      </c>
      <c r="S36">
        <f t="shared" si="1"/>
        <v>250.07479121175874</v>
      </c>
      <c r="T36">
        <f t="shared" si="1"/>
        <v>330.5040279742409</v>
      </c>
      <c r="U36">
        <f t="shared" si="1"/>
        <v>436.80097453206065</v>
      </c>
      <c r="V36">
        <f t="shared" si="1"/>
        <v>577.2852225783713</v>
      </c>
      <c r="W36">
        <f t="shared" si="1"/>
        <v>762.9521169552678</v>
      </c>
      <c r="X36">
        <f t="shared" si="1"/>
        <v>1008.3333333333336</v>
      </c>
    </row>
    <row r="37" spans="4:24" x14ac:dyDescent="0.2">
      <c r="D37" s="28" t="s">
        <v>405</v>
      </c>
      <c r="E37">
        <f t="shared" ref="E37:X37" si="2">E35*COUTMAX/1000</f>
        <v>4.2</v>
      </c>
      <c r="F37">
        <f t="shared" si="2"/>
        <v>3.1779162557475611</v>
      </c>
      <c r="G37">
        <f t="shared" si="2"/>
        <v>2.4045599353677614</v>
      </c>
      <c r="H37">
        <f t="shared" si="2"/>
        <v>1.81940240631536</v>
      </c>
      <c r="I37">
        <f t="shared" si="2"/>
        <v>1.3766448768513835</v>
      </c>
      <c r="J37">
        <f t="shared" si="2"/>
        <v>1.0416338410803834</v>
      </c>
      <c r="K37">
        <f t="shared" si="2"/>
        <v>0.78814883716812423</v>
      </c>
      <c r="L37">
        <f t="shared" si="2"/>
        <v>0.59635023847264745</v>
      </c>
      <c r="M37">
        <f t="shared" si="2"/>
        <v>0.45122645641932402</v>
      </c>
      <c r="N37">
        <f t="shared" si="2"/>
        <v>0.34141902163769955</v>
      </c>
      <c r="O37">
        <f t="shared" si="2"/>
        <v>0.25833358544854129</v>
      </c>
      <c r="P37">
        <f t="shared" si="2"/>
        <v>0.19546726204820736</v>
      </c>
      <c r="Q37">
        <f t="shared" si="2"/>
        <v>0.14789966417368244</v>
      </c>
      <c r="R37">
        <f t="shared" si="2"/>
        <v>0.11190779690408346</v>
      </c>
      <c r="S37">
        <f t="shared" si="2"/>
        <v>8.4674668315805571E-2</v>
      </c>
      <c r="T37">
        <f t="shared" si="2"/>
        <v>6.4068810688293204E-2</v>
      </c>
      <c r="U37">
        <f t="shared" si="2"/>
        <v>4.8477455945890487E-2</v>
      </c>
      <c r="V37">
        <f t="shared" si="2"/>
        <v>3.6680308401840854E-2</v>
      </c>
      <c r="W37">
        <f t="shared" si="2"/>
        <v>2.7754035318105684E-2</v>
      </c>
      <c r="X37">
        <f t="shared" si="2"/>
        <v>2.0999999999999994E-2</v>
      </c>
    </row>
    <row r="38" spans="4:24" x14ac:dyDescent="0.2">
      <c r="D38" s="28" t="s">
        <v>406</v>
      </c>
      <c r="E38">
        <f>$E$21+$E$22*E36/$E$23</f>
        <v>0.64027847757991729</v>
      </c>
      <c r="F38">
        <f>$E$21+$E$22*F36/$E$23</f>
        <v>0.64019316047067176</v>
      </c>
      <c r="G38">
        <f>$E$21+$E$22*G36/$E$23</f>
        <v>0.64008040361051732</v>
      </c>
      <c r="H38">
        <f t="shared" ref="H38:J38" si="3">$E$21+$E$22*H36/$E$23</f>
        <v>0.63993138180675158</v>
      </c>
      <c r="I38">
        <f t="shared" si="3"/>
        <v>0.63973443150175702</v>
      </c>
      <c r="J38">
        <f t="shared" si="3"/>
        <v>0.63947413789600804</v>
      </c>
      <c r="K38">
        <f>$E$21+$E$22*K36/$E$23</f>
        <v>0.63913012847091122</v>
      </c>
      <c r="L38">
        <f t="shared" ref="L38:R38" si="4">$E$21+$E$22*L36/$E$23</f>
        <v>0.63867547848358264</v>
      </c>
      <c r="M38">
        <f t="shared" si="4"/>
        <v>0.63807460363569235</v>
      </c>
      <c r="N38">
        <f t="shared" si="4"/>
        <v>0.63728047498092544</v>
      </c>
      <c r="O38">
        <f t="shared" si="4"/>
        <v>0.63623093808894826</v>
      </c>
      <c r="P38">
        <f t="shared" si="4"/>
        <v>0.63484384837620589</v>
      </c>
      <c r="Q38">
        <f t="shared" si="4"/>
        <v>0.63301064185826139</v>
      </c>
      <c r="R38">
        <f t="shared" si="4"/>
        <v>0.63058783812281327</v>
      </c>
      <c r="S38">
        <f t="shared" ref="S38:X38" si="5">$E$21+$E$22*S36/$E$23</f>
        <v>0.62738581048269582</v>
      </c>
      <c r="T38">
        <f t="shared" si="5"/>
        <v>0.62315394437729721</v>
      </c>
      <c r="U38">
        <f t="shared" si="5"/>
        <v>0.61756102240821498</v>
      </c>
      <c r="V38">
        <f t="shared" si="5"/>
        <v>0.61016930079577125</v>
      </c>
      <c r="W38">
        <f t="shared" si="5"/>
        <v>0.60040024828656313</v>
      </c>
      <c r="X38">
        <f t="shared" si="5"/>
        <v>0.58748926598346851</v>
      </c>
    </row>
    <row r="39" spans="4:24" x14ac:dyDescent="0.2">
      <c r="D39" s="28" t="s">
        <v>409</v>
      </c>
      <c r="E39">
        <f t="shared" ref="E39:X39" si="6">(E37+IF($E$26="Resistive",0,IF($E$25=0,$E$27,0)))*VINMAX</f>
        <v>254.10000000000002</v>
      </c>
      <c r="F39">
        <f t="shared" si="6"/>
        <v>192.26393347272744</v>
      </c>
      <c r="G39">
        <f t="shared" si="6"/>
        <v>145.47587608974956</v>
      </c>
      <c r="H39">
        <f t="shared" si="6"/>
        <v>110.07384558207927</v>
      </c>
      <c r="I39">
        <f t="shared" si="6"/>
        <v>83.287015049508696</v>
      </c>
      <c r="J39">
        <f t="shared" si="6"/>
        <v>63.018847385363195</v>
      </c>
      <c r="K39">
        <f t="shared" si="6"/>
        <v>47.683004648671513</v>
      </c>
      <c r="L39">
        <f t="shared" si="6"/>
        <v>36.079189427595168</v>
      </c>
      <c r="M39">
        <f t="shared" si="6"/>
        <v>27.299200613369102</v>
      </c>
      <c r="N39">
        <f t="shared" si="6"/>
        <v>20.655850809080821</v>
      </c>
      <c r="O39">
        <f t="shared" si="6"/>
        <v>15.629181919636748</v>
      </c>
      <c r="P39">
        <f t="shared" si="6"/>
        <v>11.825769353916545</v>
      </c>
      <c r="Q39">
        <f t="shared" si="6"/>
        <v>8.9479296825077874</v>
      </c>
      <c r="R39">
        <f t="shared" si="6"/>
        <v>6.7704217126970496</v>
      </c>
      <c r="S39">
        <f t="shared" si="6"/>
        <v>5.1228174331062366</v>
      </c>
      <c r="T39">
        <f t="shared" si="6"/>
        <v>3.8761630466417389</v>
      </c>
      <c r="U39">
        <f t="shared" si="6"/>
        <v>2.9328860847263742</v>
      </c>
      <c r="V39">
        <f t="shared" si="6"/>
        <v>2.2191586583113718</v>
      </c>
      <c r="W39">
        <f t="shared" si="6"/>
        <v>1.6791191367453939</v>
      </c>
      <c r="X39">
        <f t="shared" si="6"/>
        <v>1.2704999999999997</v>
      </c>
    </row>
    <row r="40" spans="4:24" x14ac:dyDescent="0.2">
      <c r="D40" s="28" t="s">
        <v>407</v>
      </c>
      <c r="E40">
        <f t="shared" ref="E40:X40" si="7">(E37+IF($E$26="Resistive", $E$25/$E$27,$E$27)) *(VINMAX-$E$25)</f>
        <v>606.9</v>
      </c>
      <c r="F40">
        <f t="shared" si="7"/>
        <v>546.08601721697994</v>
      </c>
      <c r="G40">
        <f t="shared" si="7"/>
        <v>500.07131615438175</v>
      </c>
      <c r="H40">
        <f t="shared" si="7"/>
        <v>465.25444317576392</v>
      </c>
      <c r="I40">
        <f t="shared" si="7"/>
        <v>438.91037017265728</v>
      </c>
      <c r="J40">
        <f t="shared" si="7"/>
        <v>418.97721354428279</v>
      </c>
      <c r="K40">
        <f t="shared" si="7"/>
        <v>403.89485581150342</v>
      </c>
      <c r="L40">
        <f t="shared" si="7"/>
        <v>392.4828391891225</v>
      </c>
      <c r="M40">
        <f t="shared" si="7"/>
        <v>383.84797415694976</v>
      </c>
      <c r="N40">
        <f t="shared" si="7"/>
        <v>377.31443178744314</v>
      </c>
      <c r="O40">
        <f t="shared" si="7"/>
        <v>372.37084833418822</v>
      </c>
      <c r="P40">
        <f t="shared" si="7"/>
        <v>368.63030209186832</v>
      </c>
      <c r="Q40">
        <f t="shared" si="7"/>
        <v>365.8000300183341</v>
      </c>
      <c r="R40">
        <f t="shared" si="7"/>
        <v>363.65851391579298</v>
      </c>
      <c r="S40">
        <f t="shared" si="7"/>
        <v>362.03814276479045</v>
      </c>
      <c r="T40">
        <f t="shared" si="7"/>
        <v>360.81209423595345</v>
      </c>
      <c r="U40">
        <f t="shared" si="7"/>
        <v>359.88440862878053</v>
      </c>
      <c r="V40">
        <f t="shared" si="7"/>
        <v>359.1824783499095</v>
      </c>
      <c r="W40">
        <f t="shared" si="7"/>
        <v>358.6513651014273</v>
      </c>
      <c r="X40">
        <f t="shared" si="7"/>
        <v>358.24950000000001</v>
      </c>
    </row>
    <row r="41" spans="4:24" x14ac:dyDescent="0.2">
      <c r="D41" s="28" t="s">
        <v>412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
      <c r="D42" s="28" t="s">
        <v>414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
      <c r="D44" s="28" t="s">
        <v>415</v>
      </c>
      <c r="E44">
        <f>MAX(E39,E40,E42)</f>
        <v>606.9</v>
      </c>
      <c r="F44">
        <f>MAX(F39,F40,F42)</f>
        <v>546.08601721697994</v>
      </c>
      <c r="G44">
        <f>MAX(G39,G40,G42)</f>
        <v>500.07131615438175</v>
      </c>
      <c r="H44">
        <f t="shared" ref="H44:J44" si="10">MAX(H39,H40,H42)</f>
        <v>465.25444317576392</v>
      </c>
      <c r="I44">
        <f t="shared" si="10"/>
        <v>438.91037017265728</v>
      </c>
      <c r="J44">
        <f t="shared" si="10"/>
        <v>418.97721354428279</v>
      </c>
      <c r="K44">
        <f>MAX(K39,K40,K42)</f>
        <v>403.89485581150342</v>
      </c>
      <c r="L44">
        <f t="shared" ref="L44:R44" si="11">MAX(L39,L40,L42)</f>
        <v>392.4828391891225</v>
      </c>
      <c r="M44">
        <f t="shared" si="11"/>
        <v>383.84797415694976</v>
      </c>
      <c r="N44">
        <f t="shared" si="11"/>
        <v>377.31443178744314</v>
      </c>
      <c r="O44">
        <f t="shared" si="11"/>
        <v>372.37084833418822</v>
      </c>
      <c r="P44">
        <f t="shared" si="11"/>
        <v>368.63030209186832</v>
      </c>
      <c r="Q44">
        <f t="shared" si="11"/>
        <v>365.8000300183341</v>
      </c>
      <c r="R44">
        <f t="shared" si="11"/>
        <v>363.65851391579298</v>
      </c>
      <c r="S44">
        <f t="shared" ref="S44:X44" si="12">MAX(S39,S40,S42)</f>
        <v>362.03814276479045</v>
      </c>
      <c r="T44">
        <f t="shared" si="12"/>
        <v>360.81209423595345</v>
      </c>
      <c r="U44">
        <f t="shared" si="12"/>
        <v>359.88440862878053</v>
      </c>
      <c r="V44">
        <f t="shared" si="12"/>
        <v>359.1824783499095</v>
      </c>
      <c r="W44">
        <f t="shared" si="12"/>
        <v>358.6513651014273</v>
      </c>
      <c r="X44">
        <f t="shared" si="12"/>
        <v>358.24950000000001</v>
      </c>
    </row>
    <row r="45" spans="4:24" x14ac:dyDescent="0.2">
      <c r="D45" s="28" t="s">
        <v>416</v>
      </c>
      <c r="E45">
        <f>E38/E44*1000</f>
        <v>1.0549983153401175</v>
      </c>
      <c r="F45">
        <f>F38/F44*1000</f>
        <v>1.1723302561989966</v>
      </c>
      <c r="G45">
        <f>G38/G44*1000</f>
        <v>1.2799782409693581</v>
      </c>
      <c r="H45">
        <f t="shared" ref="H45:J45" si="13">H38/H44*1000</f>
        <v>1.3754438913869722</v>
      </c>
      <c r="I45">
        <f t="shared" si="13"/>
        <v>1.4575514159077629</v>
      </c>
      <c r="J45">
        <f t="shared" si="13"/>
        <v>1.5262742631907364</v>
      </c>
      <c r="K45">
        <f>K38/K44*1000</f>
        <v>1.5824171050328786</v>
      </c>
      <c r="L45">
        <f t="shared" ref="L45" si="14">L38/L44*1000</f>
        <v>1.6272698184794503</v>
      </c>
      <c r="M45">
        <f t="shared" ref="M45:N45" si="15">M38/M44*1000</f>
        <v>1.6623107235021983</v>
      </c>
      <c r="N45">
        <f t="shared" si="15"/>
        <v>1.6889904580695498</v>
      </c>
      <c r="O45">
        <f t="shared" ref="O45" si="16">O38/O44*1000</f>
        <v>1.7085949153515798</v>
      </c>
      <c r="P45">
        <f t="shared" ref="P45" si="17">P38/P44*1000</f>
        <v>1.7221694602252016</v>
      </c>
      <c r="Q45">
        <f t="shared" ref="Q45:R45" si="18">Q38/Q44*1000</f>
        <v>1.7304827498962603</v>
      </c>
      <c r="R45">
        <f t="shared" si="18"/>
        <v>1.7340109305644613</v>
      </c>
      <c r="S45">
        <f t="shared" ref="S45" si="19">S38/S44*1000</f>
        <v>1.7329273807768284</v>
      </c>
      <c r="T45">
        <f t="shared" ref="T45:U45" si="20">T38/T44*1000</f>
        <v>1.7270871856357037</v>
      </c>
      <c r="U45">
        <f t="shared" si="20"/>
        <v>1.715998269447752</v>
      </c>
      <c r="V45">
        <f t="shared" ref="V45" si="21">V38/V44*1000</f>
        <v>1.6987724557135959</v>
      </c>
      <c r="W45">
        <f t="shared" ref="W45" si="22">W38/W44*1000</f>
        <v>1.6740498063258975</v>
      </c>
      <c r="X45">
        <f t="shared" ref="X45" si="23">X38/X44*1000</f>
        <v>1.6398885859811905</v>
      </c>
    </row>
    <row r="47" spans="4:24" x14ac:dyDescent="0.2">
      <c r="D47" s="28" t="s">
        <v>172</v>
      </c>
      <c r="E47">
        <f>IF(E45&lt;$J$23,$J$24,IF(E45&lt;$K$23,$K$24,IF(E45&lt;$L$23,$L$24,$M$24)))</f>
        <v>30</v>
      </c>
      <c r="F47">
        <f>IF(F45&lt;$J$23,$J$24,IF(F45&lt;$K$23,$K$24,IF(F45&lt;$L$23,$L$24,$M$24)))</f>
        <v>30</v>
      </c>
      <c r="G47">
        <f>IF(G45&lt;$J$23,$J$24,IF(G45&lt;$K$23,$K$24,IF(G45&lt;$L$23,$L$24,$M$24)))</f>
        <v>30</v>
      </c>
      <c r="H47">
        <f t="shared" ref="H47:J47" si="24">IF(H45&lt;$J$23,$J$24,IF(H45&lt;$K$23,$K$24,IF(H45&lt;$L$23,$L$24,$M$24)))</f>
        <v>30</v>
      </c>
      <c r="I47">
        <f t="shared" si="24"/>
        <v>30</v>
      </c>
      <c r="J47">
        <f t="shared" si="24"/>
        <v>30</v>
      </c>
      <c r="K47">
        <f>IF(K45&lt;$J$23,$J$24,IF(K45&lt;$K$23,$K$24,IF(K45&lt;$L$23,$L$24,$M$24)))</f>
        <v>30</v>
      </c>
      <c r="L47">
        <f t="shared" ref="L47:R47" si="25">IF(L45&lt;$J$23,$J$24,IF(L45&lt;$K$23,$K$24,IF(L45&lt;$L$23,$L$24,$M$24)))</f>
        <v>30</v>
      </c>
      <c r="M47">
        <f t="shared" si="25"/>
        <v>30</v>
      </c>
      <c r="N47">
        <f t="shared" si="25"/>
        <v>30</v>
      </c>
      <c r="O47">
        <f t="shared" si="25"/>
        <v>30</v>
      </c>
      <c r="P47">
        <f t="shared" si="25"/>
        <v>30</v>
      </c>
      <c r="Q47">
        <f t="shared" si="25"/>
        <v>30</v>
      </c>
      <c r="R47">
        <f t="shared" si="25"/>
        <v>30</v>
      </c>
      <c r="S47">
        <f t="shared" ref="S47:X47" si="26">IF(S45&lt;$J$23,$J$24,IF(S45&lt;$K$23,$K$24,IF(S45&lt;$L$23,$L$24,$M$24)))</f>
        <v>30</v>
      </c>
      <c r="T47">
        <f t="shared" si="26"/>
        <v>30</v>
      </c>
      <c r="U47">
        <f t="shared" si="26"/>
        <v>30</v>
      </c>
      <c r="V47">
        <f t="shared" si="26"/>
        <v>30</v>
      </c>
      <c r="W47">
        <f t="shared" si="26"/>
        <v>30</v>
      </c>
      <c r="X47">
        <f t="shared" si="26"/>
        <v>30</v>
      </c>
    </row>
    <row r="48" spans="4:24" x14ac:dyDescent="0.2">
      <c r="D48" s="28" t="s">
        <v>173</v>
      </c>
      <c r="E48">
        <f>IF(E45&lt;$J$23,$J$25,IF(E45&lt;$K$23,$K$25,IF(E45&lt;$L$23,$L$25,$M$25)))</f>
        <v>-0.6642078980768068</v>
      </c>
      <c r="F48">
        <f>IF(F45&lt;$J$23,$J$25,IF(F45&lt;$K$23,$K$25,IF(F45&lt;$L$23,$L$25,$M$25)))</f>
        <v>-0.6642078980768068</v>
      </c>
      <c r="G48">
        <f>IF(G45&lt;$J$23,$J$25,IF(G45&lt;$K$23,$K$25,IF(G45&lt;$L$23,$L$25,$M$25)))</f>
        <v>-0.6642078980768068</v>
      </c>
      <c r="H48">
        <f t="shared" ref="H48:J48" si="27">IF(H45&lt;$J$23,$J$25,IF(H45&lt;$K$23,$K$25,IF(H45&lt;$L$23,$L$25,$M$25)))</f>
        <v>-0.6642078980768068</v>
      </c>
      <c r="I48">
        <f t="shared" si="27"/>
        <v>-0.6642078980768068</v>
      </c>
      <c r="J48">
        <f t="shared" si="27"/>
        <v>-0.6642078980768068</v>
      </c>
      <c r="K48">
        <f>IF(K45&lt;$J$23,$J$25,IF(K45&lt;$K$23,$K$25,IF(K45&lt;$L$23,$L$25,$M$25)))</f>
        <v>-0.6642078980768068</v>
      </c>
      <c r="L48">
        <f t="shared" ref="L48:R48" si="28">IF(L45&lt;$J$23,$J$25,IF(L45&lt;$K$23,$K$25,IF(L45&lt;$L$23,$L$25,$M$25)))</f>
        <v>-0.6642078980768068</v>
      </c>
      <c r="M48">
        <f t="shared" si="28"/>
        <v>-0.6642078980768068</v>
      </c>
      <c r="N48">
        <f t="shared" si="28"/>
        <v>-0.6642078980768068</v>
      </c>
      <c r="O48">
        <f t="shared" si="28"/>
        <v>-0.6642078980768068</v>
      </c>
      <c r="P48">
        <f t="shared" si="28"/>
        <v>-0.6642078980768068</v>
      </c>
      <c r="Q48">
        <f t="shared" si="28"/>
        <v>-0.6642078980768068</v>
      </c>
      <c r="R48">
        <f t="shared" si="28"/>
        <v>-0.6642078980768068</v>
      </c>
      <c r="S48">
        <f t="shared" ref="S48:X48" si="29">IF(S45&lt;$J$23,$J$25,IF(S45&lt;$K$23,$K$25,IF(S45&lt;$L$23,$L$25,$M$25)))</f>
        <v>-0.6642078980768068</v>
      </c>
      <c r="T48">
        <f t="shared" si="29"/>
        <v>-0.6642078980768068</v>
      </c>
      <c r="U48">
        <f t="shared" si="29"/>
        <v>-0.6642078980768068</v>
      </c>
      <c r="V48">
        <f t="shared" si="29"/>
        <v>-0.6642078980768068</v>
      </c>
      <c r="W48">
        <f t="shared" si="29"/>
        <v>-0.6642078980768068</v>
      </c>
      <c r="X48">
        <f t="shared" si="29"/>
        <v>-0.6642078980768068</v>
      </c>
    </row>
    <row r="50" spans="4:25" x14ac:dyDescent="0.2">
      <c r="D50" s="28" t="s">
        <v>424</v>
      </c>
      <c r="E50">
        <f t="shared" ref="E50:X50" si="30">E47*E45^E48*VINMAX</f>
        <v>1751.5906677446369</v>
      </c>
      <c r="F50">
        <f t="shared" si="30"/>
        <v>1633.1011758468999</v>
      </c>
      <c r="G50">
        <f t="shared" si="30"/>
        <v>1540.5359037850621</v>
      </c>
      <c r="H50">
        <f t="shared" si="30"/>
        <v>1468.6617215657861</v>
      </c>
      <c r="I50">
        <f t="shared" si="30"/>
        <v>1413.1763264721567</v>
      </c>
      <c r="J50">
        <f t="shared" si="30"/>
        <v>1370.5864019936905</v>
      </c>
      <c r="K50">
        <f t="shared" si="30"/>
        <v>1338.0922879691636</v>
      </c>
      <c r="L50">
        <f t="shared" si="30"/>
        <v>1313.4801478677173</v>
      </c>
      <c r="M50">
        <f t="shared" si="30"/>
        <v>1295.0240643068234</v>
      </c>
      <c r="N50">
        <f t="shared" si="30"/>
        <v>1281.4003785287009</v>
      </c>
      <c r="O50">
        <f t="shared" si="30"/>
        <v>1271.6157412312043</v>
      </c>
      <c r="P50">
        <f t="shared" si="30"/>
        <v>1264.9494280567344</v>
      </c>
      <c r="Q50">
        <f t="shared" si="30"/>
        <v>1260.9098710688763</v>
      </c>
      <c r="R50">
        <f t="shared" si="30"/>
        <v>1259.2052198360136</v>
      </c>
      <c r="S50">
        <f t="shared" si="30"/>
        <v>1259.7281256567276</v>
      </c>
      <c r="T50">
        <f t="shared" si="30"/>
        <v>1262.5559191454208</v>
      </c>
      <c r="U50">
        <f t="shared" si="30"/>
        <v>1267.9691533650757</v>
      </c>
      <c r="V50">
        <f t="shared" si="30"/>
        <v>1276.4946673563702</v>
      </c>
      <c r="W50">
        <f t="shared" si="30"/>
        <v>1288.9851302997838</v>
      </c>
      <c r="X50">
        <f t="shared" si="30"/>
        <v>1306.7582363097456</v>
      </c>
    </row>
    <row r="51" spans="4:25" x14ac:dyDescent="0.2">
      <c r="D51" s="28" t="s">
        <v>425</v>
      </c>
      <c r="E51">
        <f t="shared" ref="E51:X51" si="31">E50*(TJMAX-$E$19)/(TJMAX - 25)</f>
        <v>1167.7271118297579</v>
      </c>
      <c r="F51">
        <f t="shared" si="31"/>
        <v>1088.7341172312665</v>
      </c>
      <c r="G51">
        <f t="shared" si="31"/>
        <v>1027.0239358567082</v>
      </c>
      <c r="H51">
        <f t="shared" si="31"/>
        <v>979.10781437719083</v>
      </c>
      <c r="I51">
        <f t="shared" si="31"/>
        <v>942.11755098143783</v>
      </c>
      <c r="J51">
        <f t="shared" si="31"/>
        <v>913.72426799579364</v>
      </c>
      <c r="K51">
        <f t="shared" si="31"/>
        <v>892.06152531277587</v>
      </c>
      <c r="L51">
        <f t="shared" si="31"/>
        <v>875.65343191181159</v>
      </c>
      <c r="M51">
        <f t="shared" si="31"/>
        <v>863.349376204549</v>
      </c>
      <c r="N51">
        <f t="shared" si="31"/>
        <v>854.26691901913398</v>
      </c>
      <c r="O51">
        <f t="shared" si="31"/>
        <v>847.7438274874695</v>
      </c>
      <c r="P51">
        <f t="shared" si="31"/>
        <v>843.2996187044896</v>
      </c>
      <c r="Q51">
        <f t="shared" si="31"/>
        <v>840.60658071258422</v>
      </c>
      <c r="R51">
        <f t="shared" si="31"/>
        <v>839.47014655734233</v>
      </c>
      <c r="S51">
        <f t="shared" si="31"/>
        <v>839.81875043781838</v>
      </c>
      <c r="T51">
        <f t="shared" si="31"/>
        <v>841.70394609694722</v>
      </c>
      <c r="U51">
        <f t="shared" si="31"/>
        <v>845.31276891005052</v>
      </c>
      <c r="V51">
        <f t="shared" si="31"/>
        <v>850.9964449042468</v>
      </c>
      <c r="W51">
        <f t="shared" si="31"/>
        <v>859.32342019985583</v>
      </c>
      <c r="X51">
        <f t="shared" si="31"/>
        <v>871.17215753983032</v>
      </c>
    </row>
    <row r="52" spans="4:25" x14ac:dyDescent="0.2">
      <c r="D52" s="28" t="s">
        <v>427</v>
      </c>
      <c r="E52">
        <f>E51/E44</f>
        <v>1.9240848769645047</v>
      </c>
      <c r="F52">
        <f>F51/F44</f>
        <v>1.9937044401535604</v>
      </c>
      <c r="G52">
        <f>G51/G44</f>
        <v>2.0537549399047035</v>
      </c>
      <c r="H52">
        <f t="shared" ref="H52:J52" si="32">H51/H44</f>
        <v>2.104456666107116</v>
      </c>
      <c r="I52">
        <f t="shared" si="32"/>
        <v>2.1464918922075831</v>
      </c>
      <c r="J52">
        <f t="shared" si="32"/>
        <v>2.1808447773716928</v>
      </c>
      <c r="K52">
        <f>K51/K44</f>
        <v>2.2086479005048245</v>
      </c>
      <c r="L52">
        <f t="shared" ref="L52" si="33">L51/L44</f>
        <v>2.2310617037955836</v>
      </c>
      <c r="M52">
        <f t="shared" ref="M52:N52" si="34">M51/M44</f>
        <v>2.2491961253689938</v>
      </c>
      <c r="N52">
        <f t="shared" si="34"/>
        <v>2.2640716788176762</v>
      </c>
      <c r="O52">
        <f t="shared" ref="O52" si="35">O51/O44</f>
        <v>2.2766116931007785</v>
      </c>
      <c r="P52">
        <f t="shared" ref="P52" si="36">P51/P44</f>
        <v>2.2876568039008536</v>
      </c>
      <c r="Q52">
        <f t="shared" ref="Q52:R52" si="37">Q51/Q44</f>
        <v>2.2979948379732296</v>
      </c>
      <c r="R52">
        <f t="shared" si="37"/>
        <v>2.3084022907043118</v>
      </c>
      <c r="S52">
        <f t="shared" ref="S52" si="38">S51/S44</f>
        <v>2.319696880622419</v>
      </c>
      <c r="T52">
        <f t="shared" ref="T52:U52" si="39">T51/T44</f>
        <v>2.3328041369547718</v>
      </c>
      <c r="U52">
        <f t="shared" si="39"/>
        <v>2.3488452087458658</v>
      </c>
      <c r="V52">
        <f t="shared" ref="V52" si="40">V51/V44</f>
        <v>2.369259349213634</v>
      </c>
      <c r="W52">
        <f t="shared" ref="W52" si="41">W51/W44</f>
        <v>2.3959853602030416</v>
      </c>
      <c r="X52">
        <f t="shared" ref="X52" si="42">X51/X44</f>
        <v>2.4317470297650945</v>
      </c>
    </row>
    <row r="54" spans="4:25" x14ac:dyDescent="0.2">
      <c r="D54" s="28" t="s">
        <v>432</v>
      </c>
      <c r="E54" t="str">
        <f>IF(E52&gt;$E$20, "Y", "N")</f>
        <v>Y</v>
      </c>
      <c r="F54" t="str">
        <f t="shared" ref="F54:X54" si="43">IF(F52&gt;$E$20, "Y", "N")</f>
        <v>Y</v>
      </c>
      <c r="G54" t="str">
        <f t="shared" si="43"/>
        <v>Y</v>
      </c>
      <c r="H54" t="str">
        <f t="shared" si="43"/>
        <v>Y</v>
      </c>
      <c r="I54" t="str">
        <f t="shared" si="43"/>
        <v>Y</v>
      </c>
      <c r="J54" t="str">
        <f t="shared" si="43"/>
        <v>Y</v>
      </c>
      <c r="K54" t="str">
        <f t="shared" si="43"/>
        <v>Y</v>
      </c>
      <c r="L54" t="str">
        <f t="shared" si="43"/>
        <v>Y</v>
      </c>
      <c r="M54" t="str">
        <f t="shared" si="43"/>
        <v>Y</v>
      </c>
      <c r="N54" t="str">
        <f t="shared" si="43"/>
        <v>Y</v>
      </c>
      <c r="O54" t="str">
        <f t="shared" si="43"/>
        <v>Y</v>
      </c>
      <c r="P54" t="str">
        <f t="shared" si="43"/>
        <v>Y</v>
      </c>
      <c r="Q54" t="str">
        <f t="shared" si="43"/>
        <v>Y</v>
      </c>
      <c r="R54" t="str">
        <f t="shared" si="43"/>
        <v>Y</v>
      </c>
      <c r="S54" t="str">
        <f t="shared" si="43"/>
        <v>Y</v>
      </c>
      <c r="T54" t="str">
        <f t="shared" si="43"/>
        <v>Y</v>
      </c>
      <c r="U54" t="str">
        <f t="shared" si="43"/>
        <v>Y</v>
      </c>
      <c r="V54" t="str">
        <f t="shared" si="43"/>
        <v>Y</v>
      </c>
      <c r="W54" t="str">
        <f t="shared" si="43"/>
        <v>Y</v>
      </c>
      <c r="X54" t="str">
        <f t="shared" si="43"/>
        <v>Y</v>
      </c>
      <c r="Y54" t="s">
        <v>435</v>
      </c>
    </row>
    <row r="55" spans="4:25" x14ac:dyDescent="0.2">
      <c r="D55" s="28" t="s">
        <v>433</v>
      </c>
      <c r="E55">
        <f>IF(E54="Y", 1, 0)</f>
        <v>1</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0</v>
      </c>
    </row>
    <row r="56" spans="4:25" x14ac:dyDescent="0.2">
      <c r="D56" s="28" t="s">
        <v>434</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
      <c r="D58" t="s">
        <v>436</v>
      </c>
      <c r="E58">
        <f>E55*E35</f>
        <v>12</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v>
      </c>
    </row>
    <row r="59" spans="4:25" x14ac:dyDescent="0.2">
      <c r="D59" t="s">
        <v>437</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5.9999999999999984E-2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200381-60B5-4F34-80EF-17E040E2F857}">
  <ds:schemaRefs>
    <ds:schemaRef ds:uri="http://schemas.microsoft.com/sharepoint/v3/contenttype/forms"/>
  </ds:schemaRefs>
</ds:datastoreItem>
</file>

<file path=customXml/itemProps2.xml><?xml version="1.0" encoding="utf-8"?>
<ds:datastoreItem xmlns:ds="http://schemas.openxmlformats.org/officeDocument/2006/customXml" ds:itemID="{BCF38256-F502-4BFE-B761-E2FC4DEC2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B1B6C44-4488-4DF4-8978-4D8515AF7740}">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38</vt:i4>
      </vt:variant>
    </vt:vector>
  </HeadingPairs>
  <TitlesOfParts>
    <vt:vector size="46" baseType="lpstr">
      <vt:lpstr>Instructions</vt:lpstr>
      <vt:lpstr>Design Calculator</vt:lpstr>
      <vt:lpstr>Device Parmaters</vt:lpstr>
      <vt:lpstr>Equations</vt:lpstr>
      <vt:lpstr>Start_up</vt:lpstr>
      <vt:lpstr>FET Data</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VINMAX_P</vt:lpstr>
      <vt:lpstr>VINMIN</vt:lpstr>
      <vt:lpstr>VINMIN_P</vt:lpstr>
      <vt:lpstr>VINMINP</vt:lpstr>
      <vt:lpstr>VINNOM</vt:lpstr>
      <vt:lpstr>VINNOM_P</vt:lpstr>
    </vt:vector>
  </TitlesOfParts>
  <Company>NSC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LM5067 Design Calculator</dc:title>
  <dc:creator>a-rogachev@ti.com</dc:creator>
  <cp:lastModifiedBy>nadim ahmad</cp:lastModifiedBy>
  <cp:lastPrinted>2013-08-26T22:42:43Z</cp:lastPrinted>
  <dcterms:created xsi:type="dcterms:W3CDTF">2009-04-21T16:00:33Z</dcterms:created>
  <dcterms:modified xsi:type="dcterms:W3CDTF">2019-02-27T10:39:13Z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