
<file path=[Content_Types].xml><?xml version="1.0" encoding="utf-8"?>
<Types xmlns="http://schemas.openxmlformats.org/package/2006/content-types">
  <Default ContentType="image/jpeg" Extension="jpg"/>
  <Default ContentType="application/vnd.openxmlformats-officedocument.vmlDrawing" Extension="vml"/>
  <Default ContentType="image/gif" Extension="gif"/>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Design Calculator" sheetId="2" r:id="rId5"/>
    <sheet state="hidden" name="Device Parameters" sheetId="3" r:id="rId6"/>
    <sheet state="hidden" name="Equations" sheetId="4" r:id="rId7"/>
    <sheet state="hidden" name="MOSFET Database 24V" sheetId="5" r:id="rId8"/>
    <sheet state="hidden" name="MOSFET Database 48V" sheetId="6" r:id="rId9"/>
    <sheet state="hidden" name="Start_up" sheetId="7" r:id="rId10"/>
    <sheet state="hidden" name="SOA" sheetId="8" r:id="rId11"/>
    <sheet state="hidden" name="dv_dt_recommendations" sheetId="9" r:id="rId12"/>
  </sheets>
  <definedNames>
    <definedName name="IOUTMAX">'Design Calculator'!$F$22</definedName>
    <definedName name="TSTARTNOM">Equations!$F$98</definedName>
    <definedName name="TINSERTMIN">Equations!$F$110</definedName>
    <definedName name="TINSERT">'Design Calculator'!$F$99</definedName>
    <definedName name="VINNOM">'Design Calculator'!$F$20</definedName>
    <definedName name="TJDC2">'Design Calculator'!$G$66</definedName>
    <definedName name="CLMAX_Threshold">Equations!$E$17</definedName>
    <definedName name="yesno">'Design Calculator'!$AT$13</definedName>
    <definedName name="TJ">'Design Calculator'!$H$64</definedName>
    <definedName name="ss_rate">Equations!$F$65</definedName>
    <definedName name="NUMFETS3">'Design Calculator'!$H$64</definedName>
    <definedName name="Tfault">'Design Calculator'!$F$84</definedName>
    <definedName name="CLNOM_Threshold">Equations!$E$16</definedName>
    <definedName name="TSTARTMIN">Equations!$F$97</definedName>
    <definedName name="COUTMAX">'Design Calculator'!$F$23</definedName>
    <definedName name="TJDC1">'Design Calculator'!$F$66</definedName>
    <definedName name="TAMB">'Design Calculator'!$F$24</definedName>
    <definedName name="SFET48_2">'MOSFET Database 48V'!$G$67</definedName>
    <definedName localSheetId="7" name="solver_adj">#REF!</definedName>
    <definedName name="SFET3">'MOSFET Database 24V'!$K$67</definedName>
    <definedName name="Rs">'Design Calculator'!$F$35</definedName>
    <definedName name="NUMFETS1">'Design Calculator'!$F$64</definedName>
    <definedName localSheetId="7" name="solver_opt">#REF!</definedName>
    <definedName name="CLMIN">Equations!$F$24</definedName>
    <definedName name="RDSON">'Design Calculator'!$AP$56</definedName>
    <definedName name="I_Cout_ss">Equations!$F$69</definedName>
    <definedName name="RDIV1">'Design Calculator'!$F$38</definedName>
    <definedName name="PLIMMIN">#REF!</definedName>
    <definedName name="TSTARTMAX">Equations!$F$99</definedName>
    <definedName name="TJMAX">'Design Calculator'!$AP$57</definedName>
    <definedName name="CTIMER">#REF!</definedName>
    <definedName name="SFET48_1">'MOSFET Database 48V'!$C$67</definedName>
    <definedName name="ThetaJA">'Design Calculator'!$F$26</definedName>
    <definedName name="TJDC3">'Design Calculator'!$H$66</definedName>
    <definedName name="FETPDISS1">'Design Calculator'!$F$65</definedName>
    <definedName name="MaxFETPW">#REF!</definedName>
    <definedName name="PLIMMAX">#REF!</definedName>
    <definedName name="RPWR">'Design Calculator'!$F$51</definedName>
    <definedName name="Tfaultmax">#REF!</definedName>
    <definedName name="CLMIN_Threshold">Equations!$E$15</definedName>
    <definedName name="PLIMNOM">#REF!</definedName>
    <definedName name="VINMIN">'Design Calculator'!$F$19</definedName>
    <definedName name="SFET24_2">'MOSFET Database 24V'!$G$67</definedName>
    <definedName name="NUMFETS2">'Design Calculator'!$G$64</definedName>
    <definedName name="VINMAX">'Design Calculator'!$F$21</definedName>
    <definedName name="CLNOM">Equations!$F$25</definedName>
    <definedName name="RsEFF">Equations!$F$23</definedName>
    <definedName name="RDIV2">'Design Calculator'!$F$39</definedName>
    <definedName name="SFET24_1">'MOSFET Database 24V'!$C$67</definedName>
    <definedName name="RsMAX">'Design Calculator'!$F$33</definedName>
    <definedName name="CLMAX">Equations!$F$26</definedName>
    <definedName name="TINSERTMAX">Equations!$F$112</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F19">
      <text>
        <t xml:space="preserve">The minimum system voltage must be no less than 10V.</t>
      </text>
    </comment>
    <comment authorId="0" ref="F21">
      <text>
        <t xml:space="preserve">The maximum system voltage must be no greater than 80V.</t>
      </text>
    </comment>
    <comment authorId="0" ref="F23">
      <text>
        <t xml:space="preserve">This is the capacitance at Vout. This should not be zero. A minimum of 10 μF is recommended.</t>
      </text>
    </comment>
    <comment authorId="0" ref="F25">
      <text>
        <t xml:space="preserve">The tool will calculate the number of FETs required and FET Rdson for this target  temperature
</t>
      </text>
    </comment>
    <comment authorId="0" ref="F26">
      <text>
        <t xml:space="preserve">Note that this parameter is heavily dependent on the board layout and amount of copper connected to the Drain of the FET. 
The TI EVM is ~30C / W number and is a good starting point. It's recommended to measure this value again once the boards are built and plugging this back into the calculator. 
</t>
      </text>
    </comment>
    <comment authorId="0" ref="F28">
      <text>
        <t xml:space="preserve">Select if the load will draw current during start-up. 
For no Load, choose constant current and set to zero</t>
      </text>
    </comment>
    <comment authorId="0" ref="F30">
      <text>
        <t xml:space="preserve">Soft start or DV/DT control can be useful in high current applications or applications were COUT is large.
If SOA margin is poor with a Power Limit start-up, switching to a soft start can alleviate this problem.</t>
      </text>
    </comment>
    <comment authorId="0" ref="F34">
      <text>
        <t xml:space="preserve">Using an External Resistor allows the user to fine tune the current limit for a given standard resistor. 
It will add error to the power limit, current limit, and telemetry (1% resistors) and should be avoided if possible. 
</t>
      </text>
    </comment>
    <comment authorId="0" ref="F35">
      <text>
        <t xml:space="preserve">When using an external resistor divider, Rs must be larger than the targeted Rs,eff.  Pick the next larger available Rs.  
When not using an external resistor divider, pick the next smallest available sense resistor. </t>
      </text>
    </comment>
    <comment authorId="0" ref="F36">
      <text>
        <t xml:space="preserve">Cell turns Red if 
When using an external resistor divider, Rs must be larger than the targeted Rs,eff.  Pick the next larger available Rs.  
</t>
      </text>
    </comment>
    <comment authorId="0" ref="F41">
      <text>
        <t xml:space="preserve">Ensure that the minimum current limit is above maximum load. </t>
      </text>
    </comment>
    <comment authorId="0" ref="F44">
      <text>
        <t xml:space="preserve">The power dissipation is calculated using the maximum normal load current.
Ensure the selected resistor is rated for this power dissipation.</t>
      </text>
    </comment>
    <comment authorId="0" ref="F45">
      <text>
        <t xml:space="preserve">Retry option is for  restarting the MOSFET after a certain duration after fault condition.
Latch off option is for keeping the MOSFET off after a fault condition. MOSFET needs to be started up externally.
</t>
      </text>
    </comment>
    <comment authorId="0" ref="F46">
      <text>
        <t xml:space="preserve">1.9x Current limit is usually recommended.
If your design can have very high surges, then 3.9x Current Limit is the better option
</t>
      </text>
    </comment>
    <comment authorId="0" ref="F49">
      <text>
        <t xml:space="preserve">Usually this can be set to PLIM,MIN.  If a load is present during start-up a higher Plim, may be preferred. 
</t>
      </text>
    </comment>
    <comment authorId="0" ref="F51">
      <text>
        <t xml:space="preserve">Select a resistor closest to the calculated value to achieve the Target Power Limit</t>
      </text>
    </comment>
    <comment authorId="0" ref="F52">
      <text>
        <t xml:space="preserve">Cell turns Red if the actual power limit is below Minimum Power Limit (cell F56)
</t>
      </text>
    </comment>
    <comment authorId="0" ref="F54">
      <text>
        <t xml:space="preserve">Click the arrow button beside this cell and scroll down to see all the suggestions.</t>
      </text>
    </comment>
    <comment authorId="0" ref="G54">
      <text>
        <t xml:space="preserve">Click the arrow button beside this cell and scroll down to see all the suggestions.</t>
      </text>
    </comment>
    <comment authorId="0" ref="H54">
      <text>
        <t xml:space="preserve">Enter Part Number of MOSFET from Non-TI Suppliers
</t>
      </text>
    </comment>
    <comment authorId="0" ref="H55">
      <text>
        <t xml:space="preserve">Enter the details of MOSFET from non-TI Supplier
</t>
      </text>
    </comment>
    <comment authorId="0" ref="E57">
      <text>
        <t xml:space="preserve">SOA data for TI FETs is taken at Vds=Vinmax</t>
      </text>
    </comment>
    <comment authorId="0" ref="E58">
      <text>
        <t xml:space="preserve">SOA data for TI FETs is taken at Vds=Vinmax</t>
      </text>
    </comment>
    <comment authorId="0" ref="E59">
      <text>
        <t xml:space="preserve">SOA data for TI FETs is taken at Vds=Vinmax</t>
      </text>
    </comment>
    <comment authorId="0" ref="E60">
      <text>
        <t xml:space="preserve">SOA data for TI FETs is taken at Vds=Vinmax</t>
      </text>
    </comment>
    <comment authorId="0" ref="E61">
      <text>
        <t xml:space="preserve">SOA data for TI FETs is taken at Vds=Vinmax</t>
      </text>
    </comment>
    <comment authorId="0" ref="F67">
      <text>
        <t xml:space="preserve">A margin greater than 1.1 is required and greater than 1.3 is recommended for safe operation
</t>
      </text>
    </comment>
    <comment authorId="0" ref="G67">
      <text>
        <t xml:space="preserve">A margin greater than 1.1 is required and greater than 1.3 is recommended for safe operation
</t>
      </text>
    </comment>
    <comment authorId="0" ref="H67">
      <text>
        <t xml:space="preserve">A margin greater than 1.1 is required and greater than 1.3 is recommended for safe operation
</t>
      </text>
    </comment>
    <comment authorId="0" ref="K69">
      <text>
        <t xml:space="preserve">3 Parameters:
Step 1: Max Ambient Operating Temperature 
Step 3: Estimated MOSFET RQJA
Step 3: FET Power Dissipation at full load 
**This includes air flow</t>
      </text>
    </comment>
    <comment authorId="0" ref="F75">
      <text>
        <t xml:space="preserve">Click the arrow button beside this cell and scroll down to select one FET</t>
      </text>
    </comment>
    <comment authorId="0" ref="F80">
      <text>
        <t xml:space="preserve">If IFET - ILOAD margin is too low, there may be start-up issues due to variation in power limit or load profile.  A margin &gt; 25% is recommended. 
If margin is &lt; 25%, the power limit should be increased or the load should be kept completely OFF during start-up. 
</t>
      </text>
    </comment>
    <comment authorId="0" ref="F81">
      <text>
        <t xml:space="preserve">To ensure start-up the fault time out must be longer than the start-up time. It is recommended to choose a fault timer that is larger than the typical start-time to account for variations in Plim, timer current, and timer capacitance. </t>
      </text>
    </comment>
    <comment authorId="0" ref="F83">
      <text>
        <t xml:space="preserve">Pick closest capacitor that is larger than the Target capacitance
</t>
      </text>
    </comment>
    <comment authorId="0" ref="F85">
      <text>
        <t xml:space="preserve">A ratio over 1.1 is required and over 1.3 is preferred.  This will account for variation in Power limit and timer
If the margin is poor with a PLIM based start-up, switch to soft start (cell F55)</t>
      </text>
    </comment>
    <comment authorId="0" ref="F86">
      <text>
        <t xml:space="preserve">This is used to determine the maximum FET case temperature before start-up. 
A "yes" here means that a user may run a board at full current, then unplug the board and plug it back in. In that the FET is hot before hot-plug. 
If this is a "no".  FET temperature just equals the ambient temperature. </t>
      </text>
    </comment>
    <comment authorId="0" ref="F87">
      <text>
        <t xml:space="preserve">If these cells are red, there is no suitable slew rate for keeping FET whithin SOA. 
Reduce load at start-up or pick FET with better SOA. </t>
      </text>
    </comment>
    <comment authorId="0" ref="F88">
      <text>
        <t xml:space="preserve">If these cells are red, there is no suitable slew rate for keeping FET whithin SOA. 
Reduce load at start-up or pick FET with better SOA. 
</t>
      </text>
    </comment>
    <comment authorId="0" ref="F89">
      <text>
        <t xml:space="preserve">Ensure that this is lower than max ss slew rate in the cell above
</t>
      </text>
    </comment>
    <comment authorId="0" ref="F92">
      <text>
        <t xml:space="preserve">Ensure that this is lower than max ss slew rate.</t>
      </text>
    </comment>
    <comment authorId="0" ref="F93">
      <text>
        <t xml:space="preserve">A margin of &gt;1.1 is required and a margin of &gt;1.5 is recommended to accout for the variation in the gate current. 
Reduce dv/dt rate to reduce inrush current and increase SOA margin</t>
      </text>
    </comment>
    <comment authorId="0" ref="F98">
      <text>
        <t xml:space="preserve">A margin of &gt;1.1 is required and a margin of &gt;1.3 is recommended to accout for the variation in the power limit and timer. 
Reduce Tfault to improve SOA margin. 
</t>
      </text>
    </comment>
    <comment authorId="0" ref="F100">
      <text>
        <t xml:space="preserve">This calculation applies only when the RETRY option is selected.</t>
      </text>
    </comment>
    <comment authorId="0" ref="F101">
      <text>
        <t xml:space="preserve">See the schematics above to select the appropriate option for setting the input voltage UVLO and OVLO thresholds.</t>
      </text>
    </comment>
    <comment authorId="0" ref="F102">
      <text>
        <t xml:space="preserve">This threshold must be between 10V and 80V.</t>
      </text>
    </comment>
    <comment authorId="0" ref="F103">
      <text>
        <t xml:space="preserve">This threshold must be greater than 10V, and less than the upper UVLO threshold.</t>
      </text>
    </comment>
    <comment authorId="0" ref="F104">
      <text>
        <t xml:space="preserve">This threshold must be greater than the upper UVLO Threshold, and less than 80V.</t>
      </text>
    </comment>
    <comment authorId="0" ref="F137">
      <text>
        <t xml:space="preserve">TI recommended. Same as LM5066I EVM.
</t>
      </text>
    </comment>
    <comment authorId="0" ref="F140">
      <text>
        <t xml:space="preserve">TI recomends the SMDJxx TVS.
Pick the proper value based on the input voltage. 
</t>
      </text>
    </comment>
  </commentList>
</comments>
</file>

<file path=xl/comments2.xml><?xml version="1.0" encoding="utf-8"?>
<comments xmlns:r="http://schemas.openxmlformats.org/officeDocument/2006/relationships" xmlns="http://schemas.openxmlformats.org/spreadsheetml/2006/main">
  <authors>
    <author/>
  </authors>
  <commentList>
    <comment authorId="0" ref="C42">
      <text>
        <t xml:space="preserve">Enter data from the MOSFET's SOA chart typically found in its datasheet.
Consult the MOSFET vendor for SOA performance detail and appropriate derating criteria.</t>
      </text>
    </comment>
    <comment authorId="0" ref="C43">
      <text>
        <t xml:space="preserve">Enter data from the MOSFET's SOA chart typically found in its datasheet.
Consult the MOSFET vendor for SOA performance detail and appropriate derating criteria.</t>
      </text>
    </comment>
    <comment authorId="0" ref="C45">
      <text>
        <t xml:space="preserve">Enter data from the MOSFET's SOA chart typically found in its datasheet.
Consult the MOSFET vendor for SOA performance detail and appropriate derating criteria.</t>
      </text>
    </comment>
    <comment authorId="0" ref="C90">
      <text>
        <t xml:space="preserve">Enter data from the MOSFET's SOA chart typically found in its datasheet.
Consult the MOSFET vendor for SOA performance detail and appropriate derating criteria.</t>
      </text>
    </comment>
    <comment authorId="0" ref="C91">
      <text>
        <t xml:space="preserve">Enter data from the MOSFET's SOA chart typically found in its datasheet.
Consult the MOSFET vendor for SOA performance detail and appropriate derating criteria.</t>
      </text>
    </comment>
    <comment authorId="0" ref="C93">
      <text>
        <t xml:space="preserve">Enter data from the MOSFET's SOA chart typically found in its datasheet.
Consult the MOSFET vendor for SOA performance detail and appropriate derating criteria.</t>
      </text>
    </comment>
    <comment authorId="0" ref="C138">
      <text>
        <t xml:space="preserve">Enter data from the MOSFET's SOA chart typically found in its datasheet.
Consult the MOSFET vendor for SOA performance detail and appropriate derating criteria.</t>
      </text>
    </comment>
    <comment authorId="0" ref="C139">
      <text>
        <t xml:space="preserve">Enter data from the MOSFET's SOA chart typically found in its datasheet.
Consult the MOSFET vendor for SOA performance detail and appropriate derating criteria.</t>
      </text>
    </comment>
    <comment authorId="0" ref="C141">
      <text>
        <t xml:space="preserve">Enter data from the MOSFET's SOA chart typically found in its datasheet.
Consult the MOSFET vendor for SOA performance detail and appropriate derating criteria.</t>
      </text>
    </comment>
  </commentList>
</comments>
</file>

<file path=xl/sharedStrings.xml><?xml version="1.0" encoding="utf-8"?>
<sst xmlns="http://schemas.openxmlformats.org/spreadsheetml/2006/main" count="2754" uniqueCount="895">
  <si>
    <t>© 2014</t>
  </si>
  <si>
    <t>LM5069 Design Tool with FET Recommendation - Rev. A</t>
  </si>
  <si>
    <t>Typical design procedure</t>
  </si>
  <si>
    <t xml:space="preserve">Before proceeding, please go through the application note </t>
  </si>
  <si>
    <t>Robust Hot Swap Design</t>
  </si>
  <si>
    <t xml:space="preserve">and the design example in the </t>
  </si>
  <si>
    <t>LM5069 Datasheet (See "Design-In Procedure")</t>
  </si>
  <si>
    <t xml:space="preserve">Step 1: </t>
  </si>
  <si>
    <t>1. Enter your system parameters (operating voltage limits, load current, load capacitance, system max ambient temperature )</t>
  </si>
  <si>
    <t>2. Enter FET operating parameters (preferred FET operating junction temperature, thermal impedance)</t>
  </si>
  <si>
    <r>
      <rPr>
        <rFont val="Arial"/>
        <b/>
        <i/>
        <color theme="1"/>
        <sz val="10.0"/>
        <u/>
      </rPr>
      <t>Note:</t>
    </r>
    <r>
      <rPr>
        <rFont val="Arial"/>
        <b/>
        <i/>
        <color theme="1"/>
        <sz val="10.0"/>
      </rPr>
      <t xml:space="preserve"> The tool adjusts the number of FETs required in parallel to maintain the preferred FET operating junction temperature.</t>
    </r>
  </si>
  <si>
    <r>
      <rPr>
        <rFont val="Arial"/>
        <b/>
        <i/>
        <color theme="1"/>
        <sz val="10.0"/>
        <u/>
      </rPr>
      <t>Note:</t>
    </r>
    <r>
      <rPr>
        <rFont val="Arial"/>
        <b/>
        <i/>
        <color theme="1"/>
        <sz val="10.0"/>
      </rPr>
      <t xml:space="preserve"> Thermal impedance is heavily dependent on the board layout and the amount of copper connected to the drain of the FET. </t>
    </r>
  </si>
  <si>
    <t>Thermal impedance is required to determine MOSFET SOA margin.</t>
  </si>
  <si>
    <t>3. Enter the load startup conditions (startup mode, startup load type, load turn on threshold, startup load value)</t>
  </si>
  <si>
    <t>Step 2:</t>
  </si>
  <si>
    <t>1. Set the current limit settings. Use a resistive divider to reduce effective sense resistance if needed.</t>
  </si>
  <si>
    <t>2. Select Target power limit greater than the Minimum Recommended Power Limit threshold</t>
  </si>
  <si>
    <t>Step 3:</t>
  </si>
  <si>
    <t>1. Select MOSFETs from the dropdown menu.</t>
  </si>
  <si>
    <t>2.  Compare their SOA margin, cost, power dissipation at full load and number of FETs required in parallel to know which FET fits your design perfectly.</t>
  </si>
  <si>
    <r>
      <rPr>
        <rFont val="Arial"/>
        <b/>
        <i/>
        <color theme="1"/>
        <sz val="10.0"/>
        <u/>
      </rPr>
      <t>Note:</t>
    </r>
    <r>
      <rPr>
        <rFont val="Arial"/>
        <b/>
        <i/>
        <color theme="1"/>
        <sz val="10.0"/>
      </rPr>
      <t xml:space="preserve"> You can also enter the SOA data of a non-TI FET to compare it with TI FETs.</t>
    </r>
  </si>
  <si>
    <t>An SOA margin greater than 1.1 is required and greater than 1.3 is recommended for safe operation</t>
  </si>
  <si>
    <t>3. If none of the FETs satisfy the SOA margin, try to change the following parameters:</t>
  </si>
  <si>
    <t>a. In case of power limit startup mode, reduce the load startup conditions or use a different FET in the non-TI FET column.</t>
  </si>
  <si>
    <t xml:space="preserve">b. In case of soft start startup mode, reduce the fault timer or use a different FET in the non-TI FET column. </t>
  </si>
  <si>
    <r>
      <rPr>
        <rFont val="Arial"/>
        <b/>
        <i/>
        <color theme="1"/>
        <sz val="10.0"/>
        <u/>
      </rPr>
      <t>Note:</t>
    </r>
    <r>
      <rPr>
        <rFont val="Arial"/>
        <b/>
        <i/>
        <color theme="1"/>
        <sz val="10.0"/>
      </rPr>
      <t xml:space="preserve"> The FETs selected in this section will be available as the final choices in the next section.</t>
    </r>
  </si>
  <si>
    <t>(Links to the TI FET product pages have been provided)</t>
  </si>
  <si>
    <t>Step 4:</t>
  </si>
  <si>
    <t>1. Select an FET from the dropdown menu.</t>
  </si>
  <si>
    <t>2. Review start up conditions to check whether selected FET is operating with reasonable margin, within the SOA curve.</t>
  </si>
  <si>
    <t>3. Adjust Soft-start and Timer capacitances to get accurate SOA measurements.</t>
  </si>
  <si>
    <t>Step 5:</t>
  </si>
  <si>
    <t>1. Enter desired UVLO and OVLO threshold values to get recommended resistor values.</t>
  </si>
  <si>
    <t>2. In case any of the cells in the threshold table is highlighted in red, adjust the resistor values.</t>
  </si>
  <si>
    <t xml:space="preserve">3. If nearest resistor values still give red highlighted cells, change the configuration </t>
  </si>
  <si>
    <t>Step 6:</t>
  </si>
  <si>
    <t>Done. View the design summary with all the results</t>
  </si>
  <si>
    <t>* Comments on the data to be filled/expected are provided to guide you</t>
  </si>
  <si>
    <t>Notes</t>
  </si>
  <si>
    <t>1. This worksheet is designed for use with Microsoft Excel 5.0 or later.  Its use is intended to assist power supply designers in their</t>
  </si>
  <si>
    <t xml:space="preserve">routine, day-to-day calculations.  </t>
  </si>
  <si>
    <t>2. All worksheets have light green inputs cells, white calculated cells, yellow warning cells and red high-risk cells.</t>
  </si>
  <si>
    <t>3. Formulas and device constants used in the spreadsheet are locked to prohibit them from accidentally being overwritten or deleted.</t>
  </si>
  <si>
    <t xml:space="preserve">TEXAS INSTRUMENTS TEXT FILE LICENSE
Copyright (c) 2014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</si>
  <si>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t xml:space="preserve">                         LM5069 Hot Swap Design Tool with FET Recommendation</t>
  </si>
  <si>
    <t>www.ti.com/hotswap</t>
  </si>
  <si>
    <t>Enter Values in Green Shaded Cells</t>
  </si>
  <si>
    <t>Calculated Values are shown in White Cells</t>
  </si>
  <si>
    <t xml:space="preserve">Yellow and Red cells highlight potential issues with the design. Red highlights items that are higher risk. </t>
  </si>
  <si>
    <t>Yes</t>
  </si>
  <si>
    <t>LM5069 Datasheet</t>
  </si>
  <si>
    <t>*For additional questions not addressed in the instructions, please post on E2E.ti.com</t>
  </si>
  <si>
    <t>Step 1: System Parameters</t>
  </si>
  <si>
    <r>
      <rPr>
        <rFont val="Arial"/>
        <color theme="1"/>
        <sz val="10.0"/>
      </rPr>
      <t>Minimum Input Operating Voltage: V</t>
    </r>
    <r>
      <rPr>
        <rFont val="Arial"/>
        <color theme="1"/>
        <sz val="10.0"/>
        <vertAlign val="subscript"/>
      </rPr>
      <t>IN(MIN)</t>
    </r>
  </si>
  <si>
    <t>V</t>
  </si>
  <si>
    <r>
      <rPr>
        <rFont val="Arial"/>
        <color theme="1"/>
        <sz val="10.0"/>
      </rPr>
      <t>Nominal Input Operating Voltage: V</t>
    </r>
    <r>
      <rPr>
        <rFont val="Arial"/>
        <color theme="1"/>
        <sz val="10.0"/>
        <vertAlign val="subscript"/>
      </rPr>
      <t>IN(NOM)</t>
    </r>
  </si>
  <si>
    <r>
      <rPr>
        <rFont val="Arial"/>
        <color theme="1"/>
        <sz val="10.0"/>
      </rPr>
      <t>Maximum Input Operating Voltage: V</t>
    </r>
    <r>
      <rPr>
        <rFont val="Arial"/>
        <color theme="1"/>
        <sz val="10.0"/>
        <vertAlign val="subscript"/>
      </rPr>
      <t>IN(MAX)</t>
    </r>
  </si>
  <si>
    <r>
      <rPr>
        <rFont val="Arial"/>
        <color theme="1"/>
        <sz val="10.0"/>
      </rPr>
      <t>Maximum Load Current: I</t>
    </r>
    <r>
      <rPr>
        <rFont val="Arial"/>
        <color theme="1"/>
        <sz val="10.0"/>
        <vertAlign val="subscript"/>
      </rPr>
      <t>OUT(MAX)</t>
    </r>
  </si>
  <si>
    <t>A</t>
  </si>
  <si>
    <r>
      <rPr>
        <rFont val="Arial"/>
        <color theme="1"/>
        <sz val="10.0"/>
      </rPr>
      <t>Maximum Output Load Capacitance: C</t>
    </r>
    <r>
      <rPr>
        <rFont val="Arial"/>
        <color theme="1"/>
        <sz val="10.0"/>
        <vertAlign val="subscript"/>
      </rPr>
      <t>LOAD</t>
    </r>
  </si>
  <si>
    <t>µF</t>
  </si>
  <si>
    <r>
      <rPr>
        <rFont val="Arial"/>
        <color theme="1"/>
        <sz val="10.0"/>
      </rPr>
      <t>Maximum Ambient Operating Temperature: T</t>
    </r>
    <r>
      <rPr>
        <rFont val="Arial"/>
        <color theme="1"/>
        <sz val="10.0"/>
        <vertAlign val="subscript"/>
      </rPr>
      <t>MAX</t>
    </r>
  </si>
  <si>
    <r>
      <rPr>
        <rFont val="Arial"/>
        <color theme="1"/>
        <sz val="10.0"/>
        <vertAlign val="superscript"/>
      </rPr>
      <t>o</t>
    </r>
    <r>
      <rPr>
        <rFont val="Arial"/>
        <color theme="1"/>
        <sz val="10.0"/>
      </rPr>
      <t>C</t>
    </r>
  </si>
  <si>
    <r>
      <rPr>
        <rFont val="Arial"/>
        <b/>
        <color theme="1"/>
        <sz val="10.0"/>
        <u/>
      </rPr>
      <t>Note:</t>
    </r>
    <r>
      <rPr>
        <rFont val="Arial"/>
        <color theme="1"/>
        <sz val="10.0"/>
      </rPr>
      <t xml:space="preserve"> The tool adjusts the number of FETs required in parallel to maintain the preferred FET operating junction temperature</t>
    </r>
    <r>
      <rPr>
        <rFont val="Arial"/>
        <color theme="1"/>
        <sz val="10.0"/>
      </rPr>
      <t xml:space="preserve">  (TJ,DC)</t>
    </r>
  </si>
  <si>
    <t>Preferred FET operating junction temperature (Tj,DC)</t>
  </si>
  <si>
    <r>
      <rPr>
        <rFont val="Arial"/>
        <color theme="1"/>
        <sz val="10.0"/>
        <vertAlign val="superscript"/>
      </rPr>
      <t>o</t>
    </r>
    <r>
      <rPr>
        <rFont val="Arial"/>
        <color theme="1"/>
        <sz val="10.0"/>
      </rPr>
      <t>C</t>
    </r>
  </si>
  <si>
    <r>
      <rPr>
        <rFont val="Arial"/>
        <color theme="1"/>
        <sz val="10.0"/>
      </rPr>
      <t>Estimated MOSFET R</t>
    </r>
    <r>
      <rPr>
        <rFont val="Symbol"/>
        <color theme="1"/>
        <sz val="10.0"/>
      </rPr>
      <t>Q</t>
    </r>
    <r>
      <rPr>
        <rFont val="Arial"/>
        <color theme="1"/>
        <sz val="10.0"/>
        <vertAlign val="subscript"/>
      </rPr>
      <t>JA</t>
    </r>
  </si>
  <si>
    <r>
      <rPr>
        <rFont val="Arial"/>
        <color theme="1"/>
        <sz val="10.0"/>
        <vertAlign val="superscript"/>
      </rPr>
      <t>o</t>
    </r>
    <r>
      <rPr>
        <rFont val="Arial"/>
        <color theme="1"/>
        <sz val="10.0"/>
      </rPr>
      <t>C/W</t>
    </r>
  </si>
  <si>
    <t>Load Turn-On Threshold</t>
  </si>
  <si>
    <t>Startup Load Type</t>
  </si>
  <si>
    <t>Constant Current</t>
  </si>
  <si>
    <r>
      <rPr>
        <rFont val="Arial"/>
        <b/>
        <color theme="1"/>
        <sz val="10.0"/>
        <u/>
      </rPr>
      <t>Note:</t>
    </r>
    <r>
      <rPr>
        <rFont val="Arial"/>
        <color theme="1"/>
        <sz val="10.0"/>
      </rPr>
      <t xml:space="preserve"> In case none of the FETs satisfy the SOA margin, reduce the load startup conditions</t>
    </r>
  </si>
  <si>
    <t>Startup Load Value</t>
  </si>
  <si>
    <t>System startup mode</t>
  </si>
  <si>
    <t>Soft Start</t>
  </si>
  <si>
    <r>
      <rPr>
        <rFont val="Arial"/>
        <b/>
        <color theme="1"/>
        <sz val="10.0"/>
        <u/>
      </rPr>
      <t>Note:</t>
    </r>
    <r>
      <rPr>
        <rFont val="Arial"/>
        <color theme="1"/>
        <sz val="10.0"/>
      </rPr>
      <t xml:space="preserve"> In case none of the FETs satisfy the SOA margin, reduce the fault timer</t>
    </r>
  </si>
  <si>
    <t>Fault timer required</t>
  </si>
  <si>
    <t>ms</t>
  </si>
  <si>
    <t>Step 2:  Current Limit and Power Limit Selection</t>
  </si>
  <si>
    <t>Current Limit Threshold Voltage</t>
  </si>
  <si>
    <t>55 mV</t>
  </si>
  <si>
    <t>Maximum Recommended Value for Effective Sense Resistance</t>
  </si>
  <si>
    <r>
      <rPr>
        <rFont val="Arial"/>
        <color theme="1"/>
        <sz val="10.0"/>
      </rPr>
      <t>m</t>
    </r>
    <r>
      <rPr>
        <rFont val="Symbol"/>
        <color theme="1"/>
        <sz val="10.0"/>
      </rPr>
      <t>W</t>
    </r>
  </si>
  <si>
    <r>
      <rPr>
        <rFont val="Arial"/>
        <color theme="1"/>
        <sz val="10.0"/>
      </rPr>
      <t>Use External Resistor Divider to Reduce Effecitve R</t>
    </r>
    <r>
      <rPr>
        <rFont val="Arial"/>
        <color theme="1"/>
        <sz val="10.0"/>
        <vertAlign val="subscript"/>
      </rPr>
      <t>S</t>
    </r>
  </si>
  <si>
    <t>No</t>
  </si>
  <si>
    <r>
      <rPr>
        <rFont val="Arial"/>
        <color theme="1"/>
        <sz val="10.0"/>
      </rPr>
      <t>Enter the Resistance for R</t>
    </r>
    <r>
      <rPr>
        <rFont val="Arial"/>
        <color theme="1"/>
        <sz val="10.0"/>
        <vertAlign val="subscript"/>
      </rPr>
      <t>S</t>
    </r>
  </si>
  <si>
    <r>
      <rPr>
        <rFont val="Arial"/>
        <color theme="1"/>
        <sz val="10.0"/>
      </rPr>
      <t>m</t>
    </r>
    <r>
      <rPr>
        <rFont val="Symbol"/>
        <color theme="1"/>
        <sz val="10.0"/>
      </rPr>
      <t>W</t>
    </r>
  </si>
  <si>
    <t>Recommended Value for RCL1</t>
  </si>
  <si>
    <t>W</t>
  </si>
  <si>
    <t>Recommended Value for RCL2</t>
  </si>
  <si>
    <t>Enter value for RCL1</t>
  </si>
  <si>
    <t>Enter value for RCL2</t>
  </si>
  <si>
    <r>
      <rPr>
        <rFont val="Arial"/>
        <color theme="1"/>
        <sz val="10.0"/>
      </rPr>
      <t>Effective Sense Resistance (R</t>
    </r>
    <r>
      <rPr>
        <rFont val="Arial"/>
        <color theme="1"/>
        <sz val="10.0"/>
        <vertAlign val="subscript"/>
      </rPr>
      <t>S,EFF</t>
    </r>
    <r>
      <rPr>
        <rFont val="Arial"/>
        <color theme="1"/>
        <sz val="10.0"/>
      </rPr>
      <t>)</t>
    </r>
  </si>
  <si>
    <r>
      <rPr>
        <rFont val="Arial"/>
        <color theme="1"/>
        <sz val="10.0"/>
      </rPr>
      <t>m</t>
    </r>
    <r>
      <rPr>
        <rFont val="Symbol"/>
        <color theme="1"/>
        <sz val="10.0"/>
      </rPr>
      <t>W</t>
    </r>
  </si>
  <si>
    <t>Resulting Minimum Current Limit</t>
  </si>
  <si>
    <t>Resulting Typical Current Limit</t>
  </si>
  <si>
    <t>Resulting Maximum Current Limit</t>
  </si>
  <si>
    <t>Retry</t>
  </si>
  <si>
    <r>
      <rPr>
        <rFont val="Arial"/>
        <color theme="1"/>
        <sz val="10.0"/>
      </rPr>
      <t>Maximum Power Dissipation in R</t>
    </r>
    <r>
      <rPr>
        <rFont val="Arial"/>
        <color theme="1"/>
        <sz val="10.0"/>
        <vertAlign val="subscript"/>
      </rPr>
      <t>S</t>
    </r>
  </si>
  <si>
    <r>
      <rPr>
        <rFont val="Arial"/>
        <b/>
        <color theme="1"/>
        <sz val="10.0"/>
        <u/>
      </rPr>
      <t>Note:</t>
    </r>
    <r>
      <rPr>
        <rFont val="Arial"/>
        <color theme="1"/>
        <sz val="10.0"/>
      </rPr>
      <t xml:space="preserve"> Use a resistive divider to fine tune the current limit setting if needed</t>
    </r>
  </si>
  <si>
    <t>Latch Off</t>
  </si>
  <si>
    <t>Fault Response</t>
  </si>
  <si>
    <t>1.9 x Current Limit</t>
  </si>
  <si>
    <t>Circuit Breaker to Current Limit Raitio</t>
  </si>
  <si>
    <t>3.9 x Current Limit</t>
  </si>
  <si>
    <r>
      <rPr>
        <rFont val="Arial"/>
        <color theme="1"/>
        <sz val="10.0"/>
      </rPr>
      <t>Minimum Power Limit to Ensure Vsns &gt; 5mV (P</t>
    </r>
    <r>
      <rPr>
        <rFont val="Arial"/>
        <color theme="1"/>
        <sz val="10.0"/>
        <vertAlign val="subscript"/>
      </rPr>
      <t>LIM,MIN</t>
    </r>
    <r>
      <rPr>
        <rFont val="Arial"/>
        <color theme="1"/>
        <sz val="10.0"/>
      </rPr>
      <t>)</t>
    </r>
  </si>
  <si>
    <t>Target Power Limit</t>
  </si>
  <si>
    <r>
      <rPr>
        <rFont val="Arial"/>
        <color theme="1"/>
        <sz val="10.0"/>
      </rPr>
      <t>Calculated R</t>
    </r>
    <r>
      <rPr>
        <rFont val="Arial"/>
        <color theme="1"/>
        <sz val="10.0"/>
        <vertAlign val="subscript"/>
      </rPr>
      <t>PWR</t>
    </r>
  </si>
  <si>
    <r>
      <rPr>
        <rFont val="Arial"/>
        <color theme="1"/>
        <sz val="10.0"/>
      </rPr>
      <t>k</t>
    </r>
    <r>
      <rPr>
        <rFont val="Symbol"/>
        <color theme="1"/>
        <sz val="10.0"/>
      </rPr>
      <t>W</t>
    </r>
  </si>
  <si>
    <r>
      <rPr>
        <rFont val="Arial"/>
        <color theme="1"/>
        <sz val="10.0"/>
      </rPr>
      <t>Actual R</t>
    </r>
    <r>
      <rPr>
        <rFont val="Arial"/>
        <color theme="1"/>
        <sz val="10.0"/>
        <vertAlign val="subscript"/>
      </rPr>
      <t>PWR</t>
    </r>
  </si>
  <si>
    <r>
      <rPr>
        <rFont val="Arial"/>
        <color theme="1"/>
        <sz val="10.0"/>
      </rPr>
      <t>k</t>
    </r>
    <r>
      <rPr>
        <rFont val="Symbol"/>
        <color theme="1"/>
        <sz val="10.0"/>
      </rPr>
      <t>W</t>
    </r>
  </si>
  <si>
    <t>Actual PLIM</t>
  </si>
  <si>
    <t>Step 3: MOSFET Suggestions</t>
  </si>
  <si>
    <t>Q1 FET Name</t>
  </si>
  <si>
    <t>Part Number , SOA margin, $1ku</t>
  </si>
  <si>
    <t>MOSFET from non-TI suppliers</t>
  </si>
  <si>
    <t>FET part number (48V FETs)</t>
  </si>
  <si>
    <t>FET display name (48V FETs)</t>
  </si>
  <si>
    <t>cost</t>
  </si>
  <si>
    <t>power dissipation</t>
  </si>
  <si>
    <t>SOA margin</t>
  </si>
  <si>
    <t>FET part number (24V FETs)</t>
  </si>
  <si>
    <t>FET display name (24V FETs)</t>
  </si>
  <si>
    <t>Scroll down the dropdown menu to select MOSFET</t>
  </si>
  <si>
    <t>Choose FETs for comparison</t>
  </si>
  <si>
    <t>CSD18536KTT , 7.93 , $1.894</t>
  </si>
  <si>
    <t>CSD18540Q5B , 2.99 , $0.867</t>
  </si>
  <si>
    <t>Vishay SiJ186DP</t>
  </si>
  <si>
    <r>
      <rPr>
        <rFont val="Arial"/>
        <color theme="1"/>
        <sz val="10.0"/>
      </rPr>
      <t>MOSFET On resistance @ T</t>
    </r>
    <r>
      <rPr>
        <rFont val="Arial"/>
        <color theme="1"/>
        <sz val="10.0"/>
        <vertAlign val="subscript"/>
      </rPr>
      <t>J,DC</t>
    </r>
  </si>
  <si>
    <r>
      <rPr>
        <rFont val="Arial"/>
        <color theme="1"/>
        <sz val="10.0"/>
      </rPr>
      <t>m</t>
    </r>
    <r>
      <rPr>
        <rFont val="Symbol"/>
        <color theme="1"/>
        <sz val="10.0"/>
      </rPr>
      <t>W</t>
    </r>
  </si>
  <si>
    <t>Values Used</t>
  </si>
  <si>
    <t>Maximum FET Junction Temperature</t>
  </si>
  <si>
    <r>
      <rPr>
        <rFont val="Arial"/>
        <color theme="1"/>
        <sz val="10.0"/>
        <vertAlign val="superscript"/>
      </rPr>
      <t>o</t>
    </r>
    <r>
      <rPr>
        <rFont val="Arial"/>
        <color theme="1"/>
        <sz val="10.0"/>
      </rPr>
      <t>C</t>
    </r>
  </si>
  <si>
    <t>10us SOA Current@ VIN(MAX)</t>
  </si>
  <si>
    <r>
      <rPr>
        <rFont val="Arial"/>
        <color theme="1"/>
        <sz val="10.0"/>
      </rPr>
      <t>100</t>
    </r>
    <r>
      <rPr>
        <rFont val="Calibri"/>
        <color theme="1"/>
        <sz val="10.0"/>
      </rPr>
      <t>µ</t>
    </r>
    <r>
      <rPr>
        <rFont val="Arial"/>
        <color theme="1"/>
        <sz val="10.0"/>
      </rPr>
      <t>s SOA Current @ V</t>
    </r>
    <r>
      <rPr>
        <rFont val="Arial"/>
        <color theme="1"/>
        <sz val="10.0"/>
        <vertAlign val="subscript"/>
      </rPr>
      <t>IN(MAX)</t>
    </r>
  </si>
  <si>
    <r>
      <rPr>
        <rFont val="Arial"/>
        <color theme="1"/>
        <sz val="10.0"/>
      </rPr>
      <t>1ms SOA Current @ V</t>
    </r>
    <r>
      <rPr>
        <rFont val="Arial"/>
        <color theme="1"/>
        <sz val="10.0"/>
        <vertAlign val="subscript"/>
      </rPr>
      <t>IN(MAX)</t>
    </r>
  </si>
  <si>
    <r>
      <rPr>
        <rFont val="Arial"/>
        <color theme="1"/>
        <sz val="10.0"/>
      </rPr>
      <t>10ms  Current at @ V</t>
    </r>
    <r>
      <rPr>
        <rFont val="Arial"/>
        <color theme="1"/>
        <sz val="10.0"/>
        <vertAlign val="subscript"/>
      </rPr>
      <t>IN(MAX)</t>
    </r>
  </si>
  <si>
    <r>
      <rPr>
        <rFont val="Arial"/>
        <color theme="1"/>
        <sz val="10.0"/>
      </rPr>
      <t>100ms SOA Current at @ V</t>
    </r>
    <r>
      <rPr>
        <rFont val="Arial"/>
        <color theme="1"/>
        <sz val="10.0"/>
        <vertAlign val="subscript"/>
      </rPr>
      <t>IN(MAX)</t>
    </r>
  </si>
  <si>
    <t>Note: TI recommends choosing a FET with SOA current specified for 100ms and/or 1s or DC. If choosing a FET without these parameters, this calculator will estimate the values via extrapolation, which leaves an inherent associated risk.</t>
  </si>
  <si>
    <t>Number of FETs suggested</t>
  </si>
  <si>
    <t>#</t>
  </si>
  <si>
    <t>FET Power dissapation at full load (per FET)</t>
  </si>
  <si>
    <r>
      <rPr>
        <rFont val="Arial"/>
        <color theme="1"/>
        <sz val="10.0"/>
      </rPr>
      <t>Maximum steady state FET Junction Temperature (T</t>
    </r>
    <r>
      <rPr>
        <rFont val="Arial"/>
        <color theme="1"/>
        <sz val="10.0"/>
        <vertAlign val="subscript"/>
      </rPr>
      <t>J,DC</t>
    </r>
    <r>
      <rPr>
        <rFont val="Arial"/>
        <color theme="1"/>
        <sz val="10.0"/>
      </rPr>
      <t>)</t>
    </r>
  </si>
  <si>
    <r>
      <rPr>
        <rFont val="Arial"/>
        <color theme="1"/>
        <sz val="10.0"/>
        <vertAlign val="superscript"/>
      </rPr>
      <t>o</t>
    </r>
    <r>
      <rPr>
        <rFont val="Arial"/>
        <color theme="1"/>
        <sz val="10.0"/>
      </rPr>
      <t>C</t>
    </r>
  </si>
  <si>
    <t>SOA Margin</t>
  </si>
  <si>
    <t>Webpage Link</t>
  </si>
  <si>
    <t>Enter Webpage Link</t>
  </si>
  <si>
    <t>Cost per FET (1k USD)</t>
  </si>
  <si>
    <t>Enter Cost Details</t>
  </si>
  <si>
    <r>
      <rPr>
        <rFont val="Arial"/>
        <b/>
        <color rgb="FFFF0000"/>
        <sz val="10.0"/>
        <u/>
      </rPr>
      <t>Note:</t>
    </r>
    <r>
      <rPr>
        <rFont val="Arial"/>
        <b/>
        <color rgb="FFFF0000"/>
        <sz val="10.0"/>
      </rPr>
      <t xml:space="preserve"> Hover here to see the 3 values affecting this curve, consult a thermal expert if you are unsure! </t>
    </r>
  </si>
  <si>
    <t>Total Cost of the FETs</t>
  </si>
  <si>
    <t>Note: If none of the FETs are meeting the requirement, reduce the startup load or select a stronger FET in cell H62</t>
  </si>
  <si>
    <t>Note: If none of the FETs are meeting the requirement, reduce the fault timer or select a stronger FET in cell H62</t>
  </si>
  <si>
    <t>Step 4: Startup</t>
  </si>
  <si>
    <t>Select preferred FET from the dropdown menu</t>
  </si>
  <si>
    <t>Timer Overview</t>
  </si>
  <si>
    <t>Typical Start Time with Vinmax (Tstart)</t>
  </si>
  <si>
    <t>IFET - ILOAD margin (lowest for Vout range)</t>
  </si>
  <si>
    <t>Target Fault Timer: Tstart + Margin</t>
  </si>
  <si>
    <t>Target Timer capacitance</t>
  </si>
  <si>
    <t>nF</t>
  </si>
  <si>
    <t xml:space="preserve">Selected Timer capacitance </t>
  </si>
  <si>
    <t>Final Fault Timer(Tfault)</t>
  </si>
  <si>
    <t>Derated SOA / PLIM</t>
  </si>
  <si>
    <t>Can a "hot" board be hotplugged</t>
  </si>
  <si>
    <t>Recommended slew Rate (max)</t>
  </si>
  <si>
    <t>V/ms</t>
  </si>
  <si>
    <t>Recommended slew Rate (min)</t>
  </si>
  <si>
    <t>Note: This is the typical dv/dt rate, but max value can be 1.4x. This is because the gate source current can vary from 16uA to 22uA. Thus TI recommends keeping the overall SOA margin during start-up &gt;1.5 in order to compensate for this.</t>
  </si>
  <si>
    <t>dv/dt rate on Vout</t>
  </si>
  <si>
    <t>calculated SS capacitance</t>
  </si>
  <si>
    <t>actual SS capacitance</t>
  </si>
  <si>
    <t>actual typical dv/dt rate on Vout</t>
  </si>
  <si>
    <t>SOA margin during start-up</t>
  </si>
  <si>
    <t>Target Fault Time</t>
  </si>
  <si>
    <t xml:space="preserve">Calculated Timer Capacitance </t>
  </si>
  <si>
    <r>
      <rPr>
        <rFont val="Arial"/>
        <color theme="1"/>
        <sz val="10.0"/>
      </rPr>
      <t>Actual Timer Capacitance ( pick one smaller than C</t>
    </r>
    <r>
      <rPr>
        <rFont val="Arial"/>
        <color theme="1"/>
        <sz val="10.0"/>
        <vertAlign val="subscript"/>
      </rPr>
      <t>T,CALC</t>
    </r>
    <r>
      <rPr>
        <rFont val="Arial"/>
        <color theme="1"/>
        <sz val="10.0"/>
      </rPr>
      <t xml:space="preserve">) </t>
    </r>
  </si>
  <si>
    <t>Actual Fault Time (Tfault)</t>
  </si>
  <si>
    <t xml:space="preserve"> </t>
  </si>
  <si>
    <t>Option A</t>
  </si>
  <si>
    <t>SOA margin during "hot-short" or "start-into short"</t>
  </si>
  <si>
    <t>Option B</t>
  </si>
  <si>
    <t>Resulting Typical Insertion Delay Time</t>
  </si>
  <si>
    <t>Option C</t>
  </si>
  <si>
    <t>Resulting Typical Restart Time</t>
  </si>
  <si>
    <t>Option D</t>
  </si>
  <si>
    <t>Step 5: UVLO, OVLO &amp; PGD Thresholds</t>
  </si>
  <si>
    <t>Select Option A or Option B</t>
  </si>
  <si>
    <t>Desired Upper UVLO Threshold</t>
  </si>
  <si>
    <t>Desired Lower UVLO Threshold</t>
  </si>
  <si>
    <t>Desired Upper OVLO Threshold</t>
  </si>
  <si>
    <t>Desired Lower OVLO Threshold</t>
  </si>
  <si>
    <t>Recommended Resistance for:  R1</t>
  </si>
  <si>
    <r>
      <rPr>
        <rFont val="Arial"/>
        <color theme="1"/>
        <sz val="10.0"/>
      </rPr>
      <t>k</t>
    </r>
    <r>
      <rPr>
        <rFont val="Symbol"/>
        <color theme="1"/>
        <sz val="10.0"/>
      </rPr>
      <t>W</t>
    </r>
  </si>
  <si>
    <t>R2</t>
  </si>
  <si>
    <r>
      <rPr>
        <rFont val="Arial"/>
        <color theme="1"/>
        <sz val="10.0"/>
      </rPr>
      <t>k</t>
    </r>
    <r>
      <rPr>
        <rFont val="Symbol"/>
        <color theme="1"/>
        <sz val="10.0"/>
      </rPr>
      <t>W</t>
    </r>
  </si>
  <si>
    <t>R3</t>
  </si>
  <si>
    <r>
      <rPr>
        <rFont val="Arial"/>
        <color theme="1"/>
        <sz val="10.0"/>
      </rPr>
      <t>k</t>
    </r>
    <r>
      <rPr>
        <rFont val="Symbol"/>
        <color theme="1"/>
        <sz val="10.0"/>
      </rPr>
      <t>W</t>
    </r>
  </si>
  <si>
    <t>R4</t>
  </si>
  <si>
    <r>
      <rPr>
        <rFont val="Arial"/>
        <color theme="1"/>
        <sz val="10.0"/>
      </rPr>
      <t>k</t>
    </r>
    <r>
      <rPr>
        <rFont val="Symbol"/>
        <color theme="1"/>
        <sz val="10.0"/>
      </rPr>
      <t>W</t>
    </r>
  </si>
  <si>
    <t xml:space="preserve">Enter the Resistance for R1 </t>
  </si>
  <si>
    <r>
      <rPr>
        <rFont val="Arial"/>
        <color theme="1"/>
        <sz val="10.0"/>
      </rPr>
      <t>k</t>
    </r>
    <r>
      <rPr>
        <rFont val="Symbol"/>
        <color theme="1"/>
        <sz val="10.0"/>
      </rPr>
      <t>W</t>
    </r>
  </si>
  <si>
    <t xml:space="preserve">Enter the Resistance for R2 </t>
  </si>
  <si>
    <r>
      <rPr>
        <rFont val="Arial"/>
        <color theme="1"/>
        <sz val="10.0"/>
      </rPr>
      <t>k</t>
    </r>
    <r>
      <rPr>
        <rFont val="Symbol"/>
        <color theme="1"/>
        <sz val="10.0"/>
      </rPr>
      <t>W</t>
    </r>
  </si>
  <si>
    <t xml:space="preserve">Enter the Resistance for R3 </t>
  </si>
  <si>
    <r>
      <rPr>
        <rFont val="Arial"/>
        <color theme="1"/>
        <sz val="10.0"/>
      </rPr>
      <t>k</t>
    </r>
    <r>
      <rPr>
        <rFont val="Symbol"/>
        <color theme="1"/>
        <sz val="10.0"/>
      </rPr>
      <t>W</t>
    </r>
  </si>
  <si>
    <t xml:space="preserve">Enter the Resistance for R4 </t>
  </si>
  <si>
    <r>
      <rPr>
        <rFont val="Arial"/>
        <color theme="1"/>
        <sz val="10.0"/>
      </rPr>
      <t>k</t>
    </r>
    <r>
      <rPr>
        <rFont val="Symbol"/>
        <color theme="1"/>
        <sz val="10.0"/>
      </rPr>
      <t>W</t>
    </r>
  </si>
  <si>
    <t>Resulting Thresholds:</t>
  </si>
  <si>
    <t>Minimum</t>
  </si>
  <si>
    <t>Typical</t>
  </si>
  <si>
    <t>Maximum</t>
  </si>
  <si>
    <t xml:space="preserve">Resulting Upper UVLO Threshold = </t>
  </si>
  <si>
    <t xml:space="preserve">Resulting Lower UVLO Threshold = </t>
  </si>
  <si>
    <t xml:space="preserve">Resulting Upper OVLO Threshold = </t>
  </si>
  <si>
    <t xml:space="preserve">Resulting Lower OVLO Threshold = </t>
  </si>
  <si>
    <t>Note: If any of the cells above are yellow, then these values are outside of the device's operating range. This will result in the device turning either on or off at its operating limits rather than at the user selected values in yellow.</t>
  </si>
  <si>
    <r>
      <rPr>
        <rFont val="Arial"/>
        <color theme="1"/>
        <sz val="10.0"/>
      </rPr>
      <t>Enter the Resistance for R</t>
    </r>
    <r>
      <rPr>
        <rFont val="Arial"/>
        <color theme="1"/>
        <sz val="10.0"/>
        <vertAlign val="subscript"/>
      </rPr>
      <t>PG</t>
    </r>
  </si>
  <si>
    <r>
      <rPr>
        <rFont val="Arial"/>
        <color theme="1"/>
        <sz val="10.0"/>
      </rPr>
      <t>k</t>
    </r>
    <r>
      <rPr>
        <rFont val="Symbol"/>
        <color theme="1"/>
        <sz val="10.0"/>
      </rPr>
      <t>W</t>
    </r>
  </si>
  <si>
    <t>Design Summary</t>
  </si>
  <si>
    <r>
      <rPr>
        <rFont val="Arial"/>
        <color theme="1"/>
        <sz val="11.0"/>
      </rPr>
      <t>R</t>
    </r>
    <r>
      <rPr>
        <rFont val="Arial"/>
        <color theme="1"/>
        <sz val="11.0"/>
        <vertAlign val="subscript"/>
      </rPr>
      <t>SNS</t>
    </r>
    <r>
      <rPr>
        <rFont val="Arial"/>
        <color theme="1"/>
        <sz val="11.0"/>
      </rPr>
      <t xml:space="preserve"> =</t>
    </r>
  </si>
  <si>
    <r>
      <rPr>
        <rFont val="Arial"/>
        <color theme="1"/>
        <sz val="10.0"/>
      </rPr>
      <t>m</t>
    </r>
    <r>
      <rPr>
        <rFont val="Symbol"/>
        <color theme="1"/>
        <sz val="10.0"/>
      </rPr>
      <t>W</t>
    </r>
  </si>
  <si>
    <r>
      <rPr>
        <rFont val="Arial"/>
        <color theme="1"/>
        <sz val="11.0"/>
      </rPr>
      <t>R</t>
    </r>
    <r>
      <rPr>
        <rFont val="Arial"/>
        <color theme="1"/>
        <sz val="11.0"/>
        <vertAlign val="subscript"/>
      </rPr>
      <t>CL1</t>
    </r>
    <r>
      <rPr>
        <rFont val="Arial"/>
        <color theme="1"/>
        <sz val="11.0"/>
      </rPr>
      <t xml:space="preserve"> =</t>
    </r>
  </si>
  <si>
    <r>
      <rPr>
        <rFont val="Arial"/>
        <color theme="1"/>
        <sz val="11.0"/>
      </rPr>
      <t>R</t>
    </r>
    <r>
      <rPr>
        <rFont val="Arial"/>
        <color theme="1"/>
        <sz val="11.0"/>
        <vertAlign val="subscript"/>
      </rPr>
      <t>CL2</t>
    </r>
    <r>
      <rPr>
        <rFont val="Arial"/>
        <color theme="1"/>
        <sz val="11.0"/>
      </rPr>
      <t xml:space="preserve"> =</t>
    </r>
  </si>
  <si>
    <r>
      <rPr>
        <rFont val="Arial"/>
        <color theme="1"/>
        <sz val="10.0"/>
      </rPr>
      <t>R</t>
    </r>
    <r>
      <rPr>
        <rFont val="Arial"/>
        <color theme="1"/>
        <sz val="10.0"/>
        <vertAlign val="subscript"/>
      </rPr>
      <t>PWR</t>
    </r>
    <r>
      <rPr>
        <rFont val="Arial"/>
        <color theme="1"/>
        <sz val="10.0"/>
      </rPr>
      <t xml:space="preserve"> =</t>
    </r>
  </si>
  <si>
    <r>
      <rPr>
        <rFont val="Arial"/>
        <color theme="1"/>
        <sz val="10.0"/>
      </rPr>
      <t>k</t>
    </r>
    <r>
      <rPr>
        <rFont val="Symbol"/>
        <color theme="1"/>
        <sz val="10.0"/>
      </rPr>
      <t>W</t>
    </r>
  </si>
  <si>
    <r>
      <rPr>
        <rFont val="Arial"/>
        <color theme="1"/>
        <sz val="10.0"/>
      </rPr>
      <t>C</t>
    </r>
    <r>
      <rPr>
        <rFont val="Arial"/>
        <color theme="1"/>
        <sz val="10.0"/>
        <vertAlign val="subscript"/>
      </rPr>
      <t>TIMER</t>
    </r>
    <r>
      <rPr>
        <rFont val="Arial"/>
        <color theme="1"/>
        <sz val="10.0"/>
      </rPr>
      <t xml:space="preserve"> =</t>
    </r>
  </si>
  <si>
    <t>Design Results</t>
  </si>
  <si>
    <t>R1 =</t>
  </si>
  <si>
    <r>
      <rPr>
        <rFont val="Arial"/>
        <color theme="1"/>
        <sz val="10.0"/>
      </rPr>
      <t>k</t>
    </r>
    <r>
      <rPr>
        <rFont val="Symbol"/>
        <color theme="1"/>
        <sz val="10.0"/>
      </rPr>
      <t>W</t>
    </r>
  </si>
  <si>
    <t>Settings</t>
  </si>
  <si>
    <t>Units</t>
  </si>
  <si>
    <t>R2 =</t>
  </si>
  <si>
    <r>
      <rPr>
        <rFont val="Arial"/>
        <color theme="1"/>
        <sz val="10.0"/>
      </rPr>
      <t>k</t>
    </r>
    <r>
      <rPr>
        <rFont val="Symbol"/>
        <color theme="1"/>
        <sz val="10.0"/>
      </rPr>
      <t>W</t>
    </r>
  </si>
  <si>
    <t>Current limit</t>
  </si>
  <si>
    <t>R3 =</t>
  </si>
  <si>
    <r>
      <rPr>
        <rFont val="Arial"/>
        <color theme="1"/>
        <sz val="10.0"/>
      </rPr>
      <t>k</t>
    </r>
    <r>
      <rPr>
        <rFont val="Symbol"/>
        <color theme="1"/>
        <sz val="10.0"/>
      </rPr>
      <t>W</t>
    </r>
  </si>
  <si>
    <t>Power Limit</t>
  </si>
  <si>
    <t>R4 =</t>
  </si>
  <si>
    <r>
      <rPr>
        <rFont val="Arial"/>
        <color theme="1"/>
        <sz val="10.0"/>
      </rPr>
      <t>k</t>
    </r>
    <r>
      <rPr>
        <rFont val="Symbol"/>
        <color theme="1"/>
        <sz val="10.0"/>
      </rPr>
      <t>W</t>
    </r>
  </si>
  <si>
    <t>Circuit Breaker Current</t>
  </si>
  <si>
    <r>
      <rPr>
        <rFont val="Arial"/>
        <color theme="1"/>
        <sz val="10.0"/>
      </rPr>
      <t>C</t>
    </r>
    <r>
      <rPr>
        <rFont val="Arial"/>
        <color theme="1"/>
        <sz val="10.0"/>
        <vertAlign val="subscript"/>
      </rPr>
      <t>dv/dt</t>
    </r>
    <r>
      <rPr>
        <rFont val="Arial"/>
        <color theme="1"/>
        <sz val="10.0"/>
      </rPr>
      <t xml:space="preserve"> =</t>
    </r>
  </si>
  <si>
    <t>Startup Time</t>
  </si>
  <si>
    <r>
      <rPr>
        <rFont val="Arial"/>
        <color theme="1"/>
        <sz val="10.0"/>
      </rPr>
      <t>C</t>
    </r>
    <r>
      <rPr>
        <rFont val="Arial"/>
        <color theme="1"/>
        <sz val="10.0"/>
        <vertAlign val="subscript"/>
      </rPr>
      <t>IN</t>
    </r>
    <r>
      <rPr>
        <rFont val="Arial"/>
        <color theme="1"/>
        <sz val="10.0"/>
      </rPr>
      <t xml:space="preserve"> = </t>
    </r>
  </si>
  <si>
    <t>Insertion Delay</t>
  </si>
  <si>
    <t>D1</t>
  </si>
  <si>
    <t>B380-13-F</t>
  </si>
  <si>
    <t>Fault Timeout</t>
  </si>
  <si>
    <t>D2</t>
  </si>
  <si>
    <t>Restart Time During Fault</t>
  </si>
  <si>
    <t>Q1</t>
  </si>
  <si>
    <t>Upper UVLO Threshold</t>
  </si>
  <si>
    <t>#FETs in parallel</t>
  </si>
  <si>
    <t>Lower UVLO Threshold</t>
  </si>
  <si>
    <t>Q2</t>
  </si>
  <si>
    <t>Upper OVLO Threshold</t>
  </si>
  <si>
    <t>Z1</t>
  </si>
  <si>
    <t>5.0SMDxx</t>
  </si>
  <si>
    <t>Lower OVLO Threshold</t>
  </si>
  <si>
    <t>Notes:</t>
  </si>
  <si>
    <r>
      <rPr>
        <rFont val="Arial"/>
        <color theme="1"/>
        <sz val="10.0"/>
      </rPr>
      <t>1. Although not mandatory, C</t>
    </r>
    <r>
      <rPr>
        <rFont val="Arial"/>
        <color theme="1"/>
        <sz val="10.0"/>
        <vertAlign val="subscript"/>
      </rPr>
      <t>IN</t>
    </r>
    <r>
      <rPr>
        <rFont val="Arial"/>
        <color theme="1"/>
        <sz val="10.0"/>
      </rPr>
      <t xml:space="preserve"> provides transient suppression at the VIN pin</t>
    </r>
  </si>
  <si>
    <t>2. A TVS clamp from VIN to GND is absolutely mandatory to clamp the voltage overshoot upon MOSFET turn-off, e.g. during circuit breaker</t>
  </si>
  <si>
    <t>3. Componet tolerances not accounted for in Min/Max Calculations.</t>
  </si>
  <si>
    <t>Min</t>
  </si>
  <si>
    <t>Typ</t>
  </si>
  <si>
    <t>Max</t>
  </si>
  <si>
    <t>Operating Conditions</t>
  </si>
  <si>
    <t>Junction Temperature</t>
  </si>
  <si>
    <t>Input Voltage</t>
  </si>
  <si>
    <t>Current Limit</t>
  </si>
  <si>
    <t>Sense input Current</t>
  </si>
  <si>
    <t>uA</t>
  </si>
  <si>
    <t>Systematic Offset</t>
  </si>
  <si>
    <t>Minimum Recommended Vsns</t>
  </si>
  <si>
    <t>&lt;= I am assuming this would have +/- 50% error at best</t>
  </si>
  <si>
    <t>A_coeff</t>
  </si>
  <si>
    <t xml:space="preserve">Key Equations: </t>
  </si>
  <si>
    <t>Vsns = Rpwr / (A*Vds) + Vos,syst</t>
  </si>
  <si>
    <t xml:space="preserve">Example: </t>
  </si>
  <si>
    <t>Vds</t>
  </si>
  <si>
    <t>Rpwr</t>
  </si>
  <si>
    <t>Rsns (m-ohm)</t>
  </si>
  <si>
    <t>Plim</t>
  </si>
  <si>
    <t>Vsns (mV)</t>
  </si>
  <si>
    <t>Plim (Vds) = 1/Rs * [ Rpwr/A]</t>
  </si>
  <si>
    <t>Rpwr =  A * [PLIM(Vds) * Rs]</t>
  </si>
  <si>
    <t>How Plim varries vs Vds:</t>
  </si>
  <si>
    <t>Ex: Plim @ 13V = 100W, Rs = 0.5; Plim @ (Vds = 5V) = 100W - 7V * 1mV/0.5mili-ohm = 100W - 14W = 86W</t>
  </si>
  <si>
    <t>Timer</t>
  </si>
  <si>
    <t>Upper Threshold</t>
  </si>
  <si>
    <t>Insertion Time Current</t>
  </si>
  <si>
    <t>timer_constant</t>
  </si>
  <si>
    <t>Fault detection current</t>
  </si>
  <si>
    <t>Computed Start - Up Slop</t>
  </si>
  <si>
    <t>&lt;= mean root square(T_start_error_Plim, timer_error, cap_error); T_start proportional to 1/Plim =&gt; T_start_error_plim = 1/(1-Plim_err) - 1 = 1/(1-0.4) - 1 = 0.66</t>
  </si>
  <si>
    <t>Slop for calculations</t>
  </si>
  <si>
    <t>Note: We get additional buffer, b/c this is designed for a Vinmax, while typically Vin = Vinnom</t>
  </si>
  <si>
    <t>Gate</t>
  </si>
  <si>
    <t>Gate Sourcing Current</t>
  </si>
  <si>
    <t>Circuit Breaker</t>
  </si>
  <si>
    <t>Timer Pin</t>
  </si>
  <si>
    <t>Lower Threshold (Restart)</t>
  </si>
  <si>
    <t>End of Cycle</t>
  </si>
  <si>
    <t>Re-enable threshold</t>
  </si>
  <si>
    <t>Insertion time current</t>
  </si>
  <si>
    <t>Sink current, end of insertion</t>
  </si>
  <si>
    <t>Fault sink current</t>
  </si>
  <si>
    <t>Power Good</t>
  </si>
  <si>
    <t>PGVOL</t>
  </si>
  <si>
    <t>mV</t>
  </si>
  <si>
    <t>mA sinking</t>
  </si>
  <si>
    <t>FB Pin</t>
  </si>
  <si>
    <t>FB Threshold</t>
  </si>
  <si>
    <t>FB Hysteresis Current</t>
  </si>
  <si>
    <t>CLMIN =</t>
  </si>
  <si>
    <t xml:space="preserve">CLNOM = </t>
  </si>
  <si>
    <t>CLMAX =</t>
  </si>
  <si>
    <t>Max Rs =</t>
  </si>
  <si>
    <t>RCL1 Recommended  =</t>
  </si>
  <si>
    <t>RCL2 Recommmended =</t>
  </si>
  <si>
    <t>Effective Rs =</t>
  </si>
  <si>
    <t>Min. Current limit =</t>
  </si>
  <si>
    <t>Typ. Current limit =</t>
  </si>
  <si>
    <t>Max. Current limit =</t>
  </si>
  <si>
    <t>Rs Power Diss. =</t>
  </si>
  <si>
    <t>FET Selection</t>
  </si>
  <si>
    <t>Nominal</t>
  </si>
  <si>
    <t>Derated at TJDC</t>
  </si>
  <si>
    <t>10us SOA Current Maximum Input Voltage</t>
  </si>
  <si>
    <t>100us SOA Current Maximum Input Voltage</t>
  </si>
  <si>
    <t>1ms SOA Current Maximum Input Voltage</t>
  </si>
  <si>
    <t>10ms SOA Current at Maximum Input Voltage</t>
  </si>
  <si>
    <t>100ms SOA Current at Maximum Input Voltage</t>
  </si>
  <si>
    <t>Maximum Junction Temperature</t>
  </si>
  <si>
    <t>Minimum Power Limit=</t>
  </si>
  <si>
    <t>Target PLIM</t>
  </si>
  <si>
    <t>k-ohm</t>
  </si>
  <si>
    <t>Rpwr actual</t>
  </si>
  <si>
    <t>Final Plim</t>
  </si>
  <si>
    <t>Resulting Typical Power Limit =</t>
  </si>
  <si>
    <t xml:space="preserve">   24% tolerance used in this calculation.</t>
  </si>
  <si>
    <t>Resulting Minimum Power Limit =</t>
  </si>
  <si>
    <t>Resulting Maximum Power Limit =</t>
  </si>
  <si>
    <t>Startup</t>
  </si>
  <si>
    <t>With PLIM</t>
  </si>
  <si>
    <t>FET1</t>
  </si>
  <si>
    <t>FET2</t>
  </si>
  <si>
    <t>FET3</t>
  </si>
  <si>
    <t>Typical Start time</t>
  </si>
  <si>
    <t>Start-slop</t>
  </si>
  <si>
    <t>Target Fault Timer</t>
  </si>
  <si>
    <t>Selected Timer capacitance</t>
  </si>
  <si>
    <t>Final Fault Timer</t>
  </si>
  <si>
    <t>SOA / PLIM</t>
  </si>
  <si>
    <t>With SS</t>
  </si>
  <si>
    <t>dv/dt rate</t>
  </si>
  <si>
    <t>actual dv/dt rate</t>
  </si>
  <si>
    <t>I_Cout</t>
  </si>
  <si>
    <t>typical start time</t>
  </si>
  <si>
    <t>FET Energy dissipated at start-up (EFET)</t>
  </si>
  <si>
    <t>J</t>
  </si>
  <si>
    <t>Peak Power dissipated  during start-up (PFET)</t>
  </si>
  <si>
    <t>Equivalent time at peak power - EFET/PFET (t_power)</t>
  </si>
  <si>
    <t>Available SOA for t_power at Vinmax</t>
  </si>
  <si>
    <t>Covering hot-short, start-into short for SS</t>
  </si>
  <si>
    <t>Actual Timer Capacitance</t>
  </si>
  <si>
    <t>Available derated SOA for Tfault</t>
  </si>
  <si>
    <t xml:space="preserve">  10% margin added in this calculation</t>
  </si>
  <si>
    <t>UVLO upper is F40</t>
  </si>
  <si>
    <t>R1 is F48</t>
  </si>
  <si>
    <t>V/S</t>
  </si>
  <si>
    <t>Min Insertion time =</t>
  </si>
  <si>
    <t>Typ. Insertion time =</t>
  </si>
  <si>
    <t>Max Insertion time =</t>
  </si>
  <si>
    <t xml:space="preserve">Min Restart time = </t>
  </si>
  <si>
    <t>Typ. Restart time =</t>
  </si>
  <si>
    <t>Max Restart time =</t>
  </si>
  <si>
    <t>Min PG Threshold =</t>
  </si>
  <si>
    <t>Nom PG Threshold =</t>
  </si>
  <si>
    <t>Max PG Threshold =</t>
  </si>
  <si>
    <t>Min PG Hysteresis =</t>
  </si>
  <si>
    <t>Nom PG Hysteresis =</t>
  </si>
  <si>
    <t>Max PG Hysteresis =</t>
  </si>
  <si>
    <t>UVLO lower is F41</t>
  </si>
  <si>
    <t>R2 is F49</t>
  </si>
  <si>
    <t>OVLO upper is F42</t>
  </si>
  <si>
    <t>R3 is F50</t>
  </si>
  <si>
    <t>OVLO lower is F43</t>
  </si>
  <si>
    <t>R4 is F51</t>
  </si>
  <si>
    <t>B</t>
  </si>
  <si>
    <t>C</t>
  </si>
  <si>
    <t>D</t>
  </si>
  <si>
    <t xml:space="preserve">R1 = </t>
  </si>
  <si>
    <t xml:space="preserve">R2 = </t>
  </si>
  <si>
    <t xml:space="preserve">R3 = </t>
  </si>
  <si>
    <t xml:space="preserve">R4 = </t>
  </si>
  <si>
    <t xml:space="preserve">Resulting upper UVLO Threshold (min) = </t>
  </si>
  <si>
    <t xml:space="preserve">Resulting upper UVLO Threshold (typ) = </t>
  </si>
  <si>
    <t xml:space="preserve">Resulting upper UVLO Threshold (max) = </t>
  </si>
  <si>
    <t xml:space="preserve">Resulting lower UVLO Threshold (min) = </t>
  </si>
  <si>
    <t xml:space="preserve">Resulting lower UVLO Threshold (typ) = </t>
  </si>
  <si>
    <t xml:space="preserve">Resulting lower UVLO Threshold (max) = </t>
  </si>
  <si>
    <t xml:space="preserve">Resulting upper OVLO Threshold (min) = </t>
  </si>
  <si>
    <t xml:space="preserve">Resulting upper OVLO Threshold (typ) = </t>
  </si>
  <si>
    <t xml:space="preserve">Resulting upper OVLO Threshold (max) = </t>
  </si>
  <si>
    <t xml:space="preserve">Resulting lower OVLO Threshold (min) = </t>
  </si>
  <si>
    <t xml:space="preserve">Resulting lower OVLO Threshold (typ) = </t>
  </si>
  <si>
    <t xml:space="preserve">Resulting lower OVLO Threshold (max) = </t>
  </si>
  <si>
    <t>Ramp time for output voltage</t>
  </si>
  <si>
    <t>Nominal output voltage</t>
  </si>
  <si>
    <t>Required soft-start capacitance</t>
  </si>
  <si>
    <t>GRAPH:</t>
  </si>
  <si>
    <t>Selected Rs =</t>
  </si>
  <si>
    <r>
      <rPr>
        <rFont val="Arial"/>
        <color theme="1"/>
        <sz val="10.0"/>
      </rPr>
      <t>Selected R</t>
    </r>
    <r>
      <rPr>
        <rFont val="Arial"/>
        <color theme="1"/>
        <sz val="10.0"/>
        <vertAlign val="subscript"/>
      </rPr>
      <t>PWR</t>
    </r>
    <r>
      <rPr>
        <rFont val="Arial"/>
        <color theme="1"/>
        <sz val="10.0"/>
      </rPr>
      <t xml:space="preserve"> =</t>
    </r>
  </si>
  <si>
    <t>Max System voltage =</t>
  </si>
  <si>
    <t>Current Lim (min) =</t>
  </si>
  <si>
    <t>Current Lim (typ) =</t>
  </si>
  <si>
    <t>Current Lim (max) =</t>
  </si>
  <si>
    <t>Power Limit (min) =</t>
  </si>
  <si>
    <t>Power Limit (typ) =</t>
  </si>
  <si>
    <t>Power Limit (max) =</t>
  </si>
  <si>
    <t>A) This table calculates the Ids current based</t>
  </si>
  <si>
    <t>B) This table corrrects the table at left so no</t>
  </si>
  <si>
    <t>C) This table creates the</t>
  </si>
  <si>
    <t>D) This table changes ID values to zero for Vds&gt;Vin(max)</t>
  </si>
  <si>
    <t>on power limit only - no current limit info.</t>
  </si>
  <si>
    <t>current is greater than the current limit.</t>
  </si>
  <si>
    <t>SOA data points from</t>
  </si>
  <si>
    <t>and adds the SOA curve. This data is plotted.</t>
  </si>
  <si>
    <t>PLIM</t>
  </si>
  <si>
    <t>the customer's SOA</t>
  </si>
  <si>
    <t>SOA</t>
  </si>
  <si>
    <t>Temp Derated SOA</t>
  </si>
  <si>
    <t>data he entered.</t>
  </si>
  <si>
    <t>User's</t>
  </si>
  <si>
    <t>Ids</t>
  </si>
  <si>
    <t>x = customer's entry</t>
  </si>
  <si>
    <t>x</t>
  </si>
  <si>
    <t>Note: I added an adjustment for the systematic offset</t>
  </si>
  <si>
    <t>Vos syst</t>
  </si>
  <si>
    <t>Rs (ohm)</t>
  </si>
  <si>
    <t>Vin, max</t>
  </si>
  <si>
    <t>Plim tolerance</t>
  </si>
  <si>
    <t>Plim (Vds) = Plim (Vin,max) + (Vds - Vin,max)*Vos,syst/Rs</t>
  </si>
  <si>
    <t>CSD18536KTT</t>
  </si>
  <si>
    <t>CSD18535KTT</t>
  </si>
  <si>
    <t>CSD18540Q5B</t>
  </si>
  <si>
    <t>CSD19506KTT</t>
  </si>
  <si>
    <t>CSD19505KTT</t>
  </si>
  <si>
    <t>CSD18532Q5B</t>
  </si>
  <si>
    <t>CSD18532NQ5B</t>
  </si>
  <si>
    <t>CSD18542KTT</t>
  </si>
  <si>
    <t>CSD19502Q5B</t>
  </si>
  <si>
    <t>CSD18532KCS</t>
  </si>
  <si>
    <t>CSD18531Q5A</t>
  </si>
  <si>
    <t>CSD18533Q5A</t>
  </si>
  <si>
    <t>CSD19501KCS</t>
  </si>
  <si>
    <t>CSD18563Q5A</t>
  </si>
  <si>
    <t>CSD19503KCS</t>
  </si>
  <si>
    <t>CSD18534Q5A</t>
  </si>
  <si>
    <t>CSD18543Q3A</t>
  </si>
  <si>
    <t>CSD18537NQ5A</t>
  </si>
  <si>
    <t>Webpage</t>
  </si>
  <si>
    <t>Enter webpage link</t>
  </si>
  <si>
    <t>https://www.ti.com/product/CSD18536KTT</t>
  </si>
  <si>
    <t>https://www.ti.com/product/CSD18535KTT</t>
  </si>
  <si>
    <t>https://www.ti.com/product/CSD18540Q5B</t>
  </si>
  <si>
    <t>https://www.ti.com/product/CSD19506KTT</t>
  </si>
  <si>
    <t>https://www.ti.com/product/CSD19505KTT</t>
  </si>
  <si>
    <t>https://www.ti.com/product/CSD18532Q5B</t>
  </si>
  <si>
    <t>https://www.ti.com/product/CSD18532NQ5B</t>
  </si>
  <si>
    <t>https://www.ti.com/product/CSD18542KTT</t>
  </si>
  <si>
    <t>https://www.ti.com/product/CSD19502Q5B</t>
  </si>
  <si>
    <t>https://www.ti.com/product/CSD18532KCS</t>
  </si>
  <si>
    <t>https://www.ti.com/product/CSD18531Q5A</t>
  </si>
  <si>
    <t>https://www.ti.com/product/CSD18533Q5A</t>
  </si>
  <si>
    <t>https://www.ti.com/product/CSD19501KCS</t>
  </si>
  <si>
    <t>https://www.ti.com/product/CSD18563Q5A</t>
  </si>
  <si>
    <t>https://www.ti.com/product/CSD19503KCS</t>
  </si>
  <si>
    <t>https://www.ti.com/product/CSD18534Q5A</t>
  </si>
  <si>
    <t>https://www.ti.com/product/CSD18543Q3A</t>
  </si>
  <si>
    <t>https://www.ti.com/product/CSD18537NQ5A</t>
  </si>
  <si>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</si>
  <si>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</si>
  <si>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</si>
  <si>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</si>
  <si>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</si>
  <si>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</si>
  <si>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</si>
  <si>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</si>
  <si>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</si>
  <si>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</si>
  <si>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</si>
  <si>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</si>
  <si>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</si>
  <si>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</si>
  <si>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</si>
  <si>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</si>
  <si>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</si>
  <si>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</si>
  <si>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</si>
  <si>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t>Maximum Rds(on)</t>
  </si>
  <si>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</si>
  <si>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</si>
  <si>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</si>
  <si>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</si>
  <si>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</si>
  <si>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</si>
  <si>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</si>
  <si>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</si>
  <si>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</si>
  <si>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</si>
  <si>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</si>
  <si>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</si>
  <si>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</si>
  <si>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</si>
  <si>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</si>
  <si>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</si>
  <si>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</si>
  <si>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</si>
  <si>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</si>
  <si>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t>Rds(on) vs Temperature</t>
  </si>
  <si>
    <t>Maximum Load Current</t>
  </si>
  <si>
    <t>Maximum Ambient Temperature</t>
  </si>
  <si>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</si>
  <si>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</si>
  <si>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</si>
  <si>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</si>
  <si>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</si>
  <si>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</si>
  <si>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</si>
  <si>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</si>
  <si>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</si>
  <si>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</si>
  <si>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</si>
  <si>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</si>
  <si>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</si>
  <si>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</si>
  <si>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</si>
  <si>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</si>
  <si>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</si>
  <si>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</si>
  <si>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</si>
  <si>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Arial"/>
        <color theme="1"/>
        <sz val="10.0"/>
      </rPr>
      <t>R</t>
    </r>
    <r>
      <rPr>
        <rFont val="Symbol"/>
        <color theme="1"/>
        <sz val="10.0"/>
      </rPr>
      <t>Q</t>
    </r>
    <r>
      <rPr>
        <rFont val="Arial"/>
        <color theme="1"/>
        <sz val="10.0"/>
        <vertAlign val="subscript"/>
      </rPr>
      <t>JA</t>
    </r>
  </si>
  <si>
    <t>°C/W</t>
  </si>
  <si>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</si>
  <si>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</si>
  <si>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</si>
  <si>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</si>
  <si>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</si>
  <si>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</si>
  <si>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</si>
  <si>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</si>
  <si>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</si>
  <si>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</si>
  <si>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</si>
  <si>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</si>
  <si>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</si>
  <si>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</si>
  <si>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</si>
  <si>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</si>
  <si>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</si>
  <si>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</si>
  <si>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t xml:space="preserve">Operation Temp required </t>
  </si>
  <si>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</si>
  <si>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</si>
  <si>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</si>
  <si>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</si>
  <si>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</si>
  <si>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</si>
  <si>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</si>
  <si>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</si>
  <si>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</si>
  <si>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</si>
  <si>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</si>
  <si>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</si>
  <si>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</si>
  <si>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</si>
  <si>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</si>
  <si>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</si>
  <si>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</si>
  <si>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</si>
  <si>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</si>
  <si>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t>datasheet</t>
  </si>
  <si>
    <t>Not Applicable</t>
  </si>
  <si>
    <t>https://www.ti.com/lit/gpn/csd18536ktt</t>
  </si>
  <si>
    <t>https://www.ti.com/lit/gpn/csd18535ktt</t>
  </si>
  <si>
    <t>https://www.ti.com/lit/gpn/csd18540q5b</t>
  </si>
  <si>
    <t>https://www.ti.com/lit/gpn/csd19506ktt</t>
  </si>
  <si>
    <t>https://www.ti.com/lit/gpn/csd19505ktt</t>
  </si>
  <si>
    <t>https://www.ti.com/lit/gpn/csd18532q5b</t>
  </si>
  <si>
    <t>https://www.ti.com/lit/gpn/csd18532nq5b</t>
  </si>
  <si>
    <t>https://www.ti.com/lit/gpn/csd18542ktt</t>
  </si>
  <si>
    <t>https://www.ti.com/lit/gpn/csd19502q5b</t>
  </si>
  <si>
    <t>https://www.ti.com/lit/gpn/csd18532kcs</t>
  </si>
  <si>
    <t>https://www.ti.com/lit/gpn/csd18531q5a</t>
  </si>
  <si>
    <t>https://www.ti.com/lit/gpn/csd18533q5a</t>
  </si>
  <si>
    <t>https://www.ti.com/lit/gpn/csd19501kcs</t>
  </si>
  <si>
    <t>https://www.ti.com/lit/gpn/csd18563q5a</t>
  </si>
  <si>
    <t>https://www.ti.com/lit/gpn/csd19503kcs</t>
  </si>
  <si>
    <t>https://www.ti.com/lit/gpn/csd18534q5a</t>
  </si>
  <si>
    <t>https://www.ti.com/lit/gpn/csd18543q3a</t>
  </si>
  <si>
    <t>https://www.ti.com/lit/gpn/csd18537nq5a</t>
  </si>
  <si>
    <t>Number of FETs</t>
  </si>
  <si>
    <t>FET round-up</t>
  </si>
  <si>
    <t>FET power dissipation</t>
  </si>
  <si>
    <t>Operating Temperature</t>
  </si>
  <si>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</si>
  <si>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</si>
  <si>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</si>
  <si>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</si>
  <si>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</si>
  <si>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</si>
  <si>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</si>
  <si>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</si>
  <si>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</si>
  <si>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</si>
  <si>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</si>
  <si>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</si>
  <si>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</si>
  <si>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</si>
  <si>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</si>
  <si>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</si>
  <si>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</si>
  <si>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</si>
  <si>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</si>
  <si>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t>cost 1k USD</t>
  </si>
  <si>
    <t>Enter cost details</t>
  </si>
  <si>
    <t>Time(ms)</t>
  </si>
  <si>
    <t>Timer Duration</t>
  </si>
  <si>
    <t>Lower time</t>
  </si>
  <si>
    <t>Lower Current</t>
  </si>
  <si>
    <t>Higher Timer</t>
  </si>
  <si>
    <t>Higher Current</t>
  </si>
  <si>
    <t>a</t>
  </si>
  <si>
    <t>m</t>
  </si>
  <si>
    <t>Current</t>
  </si>
  <si>
    <t>Power</t>
  </si>
  <si>
    <t>Derating Factor</t>
  </si>
  <si>
    <t>Power at Hot-Short</t>
  </si>
  <si>
    <t>Margin</t>
  </si>
  <si>
    <t>Selected FET</t>
  </si>
  <si>
    <t>Column Number</t>
  </si>
  <si>
    <t>MOSFET Power Dissipation</t>
  </si>
  <si>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</si>
  <si>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</si>
  <si>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</si>
  <si>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</si>
  <si>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</si>
  <si>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</si>
  <si>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t>On resistance at Junction temp</t>
  </si>
  <si>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</si>
  <si>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</si>
  <si>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</si>
  <si>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t>webpage link</t>
  </si>
  <si>
    <t>datasheet link</t>
  </si>
  <si>
    <t>$</t>
  </si>
  <si>
    <t>CSD19536KTT</t>
  </si>
  <si>
    <t>CSD19535KTT</t>
  </si>
  <si>
    <t>CSD19532Q5B</t>
  </si>
  <si>
    <t>CSD19532KTT</t>
  </si>
  <si>
    <t>CSD19531Q5A</t>
  </si>
  <si>
    <t>CSD19533Q5A</t>
  </si>
  <si>
    <t>CSD19537Q3</t>
  </si>
  <si>
    <t>CSD19534Q5A</t>
  </si>
  <si>
    <t>CSD19538Q2</t>
  </si>
  <si>
    <t>CSD19538Q3A</t>
  </si>
  <si>
    <t>https://www.ti.com/product/CSD19536KTT</t>
  </si>
  <si>
    <t>https://www.ti.com/product/CSD19535KTT</t>
  </si>
  <si>
    <t>https://www.ti.com/product/CSD19532Q5B</t>
  </si>
  <si>
    <t>https://www.ti.com/product/CSD19532KTT</t>
  </si>
  <si>
    <t>https://www.ti.com/product/CSD19531Q5A</t>
  </si>
  <si>
    <t>https://www.ti.com/product/CSD19533Q5A</t>
  </si>
  <si>
    <t>https://www.ti.com/product/CSD19537Q3</t>
  </si>
  <si>
    <t>https://www.ti.com/product/CSD19534Q5A</t>
  </si>
  <si>
    <t>https://www.ti.com/product/CSD19538Q2</t>
  </si>
  <si>
    <t>https://www.ti.com/product/CSD19538Q3A</t>
  </si>
  <si>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</si>
  <si>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</si>
  <si>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</si>
  <si>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</si>
  <si>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</si>
  <si>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</si>
  <si>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</si>
  <si>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</si>
  <si>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</si>
  <si>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</si>
  <si>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</si>
  <si>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</si>
  <si>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</si>
  <si>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</si>
  <si>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</si>
  <si>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</si>
  <si>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</si>
  <si>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</si>
  <si>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</si>
  <si>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Arial"/>
        <color theme="1"/>
        <sz val="10.0"/>
      </rPr>
      <t>m</t>
    </r>
    <r>
      <rPr>
        <rFont val="Calibri"/>
        <color theme="1"/>
        <sz val="10.0"/>
      </rPr>
      <t>Ω</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</si>
  <si>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</si>
  <si>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</si>
  <si>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</si>
  <si>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</si>
  <si>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</si>
  <si>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</si>
  <si>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</si>
  <si>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</si>
  <si>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</si>
  <si>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</si>
  <si>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</si>
  <si>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</si>
  <si>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</si>
  <si>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</si>
  <si>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</si>
  <si>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</si>
  <si>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</si>
  <si>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</si>
  <si>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</si>
  <si>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Arial"/>
        <color theme="1"/>
        <sz val="10.0"/>
      </rPr>
      <t>R</t>
    </r>
    <r>
      <rPr>
        <rFont val="Symbol"/>
        <color theme="1"/>
        <sz val="10.0"/>
      </rPr>
      <t>Q</t>
    </r>
    <r>
      <rPr>
        <rFont val="Arial"/>
        <color theme="1"/>
        <sz val="10.0"/>
        <vertAlign val="subscript"/>
      </rPr>
      <t>JA</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</si>
  <si>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</si>
  <si>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</si>
  <si>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</si>
  <si>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</si>
  <si>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</si>
  <si>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</si>
  <si>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</si>
  <si>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</si>
  <si>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</si>
  <si>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</si>
  <si>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t>https://www.ti.com/lit/gpn/csd19536ktt</t>
  </si>
  <si>
    <t>https://www.ti.com/lit/gpn/csd19535ktt</t>
  </si>
  <si>
    <t>https://www.ti.com/lit/gpn/csd19532q5b</t>
  </si>
  <si>
    <t>https://www.ti.com/lit/gpn/csd19532ktt</t>
  </si>
  <si>
    <t>https://www.ti.com/lit/gpn/csd19531q5a</t>
  </si>
  <si>
    <t>https://www.ti.com/lit/gpn/csd19533q5a</t>
  </si>
  <si>
    <t>https://www.ti.com/lit/gpn/csd19537q3</t>
  </si>
  <si>
    <t>https://www.ti.com/lit/gpn/csd19534q5a</t>
  </si>
  <si>
    <t>https://www.ti.com/lit/gpn/csd19538q2</t>
  </si>
  <si>
    <t>https://www.ti.com/lit/gpn/csd19538q3a</t>
  </si>
  <si>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</si>
  <si>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</si>
  <si>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</si>
  <si>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</si>
  <si>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</si>
  <si>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</si>
  <si>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</si>
  <si>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</si>
  <si>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</si>
  <si>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</si>
  <si>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</si>
  <si>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</si>
  <si>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</si>
  <si>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Calibri"/>
        <color theme="1"/>
        <sz val="10.0"/>
      </rPr>
      <t>°</t>
    </r>
    <r>
      <rPr>
        <rFont val="Arial"/>
        <color theme="1"/>
        <sz val="10.0"/>
      </rPr>
      <t>C</t>
    </r>
  </si>
  <si>
    <r>
      <rPr>
        <rFont val="Arial"/>
        <color theme="1"/>
        <sz val="10.0"/>
      </rPr>
      <t>m</t>
    </r>
    <r>
      <rPr>
        <rFont val="Calibri"/>
        <color theme="1"/>
        <sz val="10.0"/>
      </rPr>
      <t>Ω</t>
    </r>
  </si>
  <si>
    <r>
      <rPr>
        <rFont val="Arial"/>
        <color theme="1"/>
        <sz val="10.0"/>
      </rPr>
      <t>m</t>
    </r>
    <r>
      <rPr>
        <rFont val="Calibri"/>
        <color theme="1"/>
        <sz val="10.0"/>
      </rPr>
      <t>Ω</t>
    </r>
  </si>
  <si>
    <t>ILIM</t>
  </si>
  <si>
    <t>Load type</t>
  </si>
  <si>
    <t>SS</t>
  </si>
  <si>
    <t>Load Value</t>
  </si>
  <si>
    <t>Load start</t>
  </si>
  <si>
    <t>Rs</t>
  </si>
  <si>
    <t>Vos,syst</t>
  </si>
  <si>
    <t>Start-time</t>
  </si>
  <si>
    <t>I_fet-I_L margin</t>
  </si>
  <si>
    <t>I_g(hi/nom)</t>
  </si>
  <si>
    <t>I_g(low/nom)</t>
  </si>
  <si>
    <t>To avoid timer running: Iload + Icap,ss &lt; IFET_PLIM / 2 =&gt; SS_RATE &lt; 1/Cout * (IFET_PLIM/2 - ILOAD)</t>
  </si>
  <si>
    <t>Max_SS_Rate</t>
  </si>
  <si>
    <t>max_power_typ</t>
  </si>
  <si>
    <t>FET_ENERGY</t>
  </si>
  <si>
    <t>max_power_high</t>
  </si>
  <si>
    <t>max_power_low</t>
  </si>
  <si>
    <t>VIN</t>
  </si>
  <si>
    <t>Vout</t>
  </si>
  <si>
    <t>ILOAD</t>
  </si>
  <si>
    <t>IFET_PLIM</t>
  </si>
  <si>
    <t>I_FET_SS</t>
  </si>
  <si>
    <t>IFET</t>
  </si>
  <si>
    <t>ICAP</t>
  </si>
  <si>
    <r>
      <rPr>
        <rFont val="Symbol"/>
        <b/>
        <color theme="1"/>
        <sz val="10.0"/>
        <u/>
      </rPr>
      <t>D</t>
    </r>
    <r>
      <rPr>
        <rFont val="Arial"/>
        <b/>
        <color theme="1"/>
        <sz val="10.0"/>
        <u/>
      </rPr>
      <t>t</t>
    </r>
  </si>
  <si>
    <t>Time</t>
  </si>
  <si>
    <t>Tiime (ms)</t>
  </si>
  <si>
    <t>I_Fet-IL margin</t>
  </si>
  <si>
    <t>Max _allowed SS_rate</t>
  </si>
  <si>
    <t>FET_Energy</t>
  </si>
  <si>
    <t>Power (W)</t>
  </si>
  <si>
    <t>P_ fast_SS</t>
  </si>
  <si>
    <t>P_slow_SS</t>
  </si>
  <si>
    <t xml:space="preserve">Start-up slop </t>
  </si>
  <si>
    <t>QG</t>
  </si>
  <si>
    <t>I_Src</t>
  </si>
  <si>
    <t>RMS</t>
  </si>
  <si>
    <t>combined</t>
  </si>
  <si>
    <t>I_timer</t>
  </si>
  <si>
    <t>C_timer</t>
  </si>
  <si>
    <t>Final</t>
  </si>
  <si>
    <r>
      <rPr>
        <rFont val="Symbol"/>
        <b/>
        <color theme="1"/>
        <sz val="10.0"/>
        <u/>
      </rPr>
      <t>D</t>
    </r>
    <r>
      <rPr>
        <rFont val="Arial"/>
        <b/>
        <color theme="1"/>
        <sz val="10.0"/>
        <u/>
      </rPr>
      <t>t</t>
    </r>
  </si>
  <si>
    <r>
      <rPr>
        <rFont val="Symbol"/>
        <b/>
        <color theme="1"/>
        <sz val="10.0"/>
        <u/>
      </rPr>
      <t>D</t>
    </r>
    <r>
      <rPr>
        <rFont val="Arial"/>
        <b/>
        <color theme="1"/>
        <sz val="10.0"/>
        <u/>
      </rPr>
      <t>t</t>
    </r>
  </si>
  <si>
    <t>FET 1</t>
  </si>
  <si>
    <t>Look Up</t>
  </si>
  <si>
    <t>I = a * t^m</t>
  </si>
  <si>
    <t>10us</t>
  </si>
  <si>
    <t>100us</t>
  </si>
  <si>
    <t>1ms</t>
  </si>
  <si>
    <t>10ms</t>
  </si>
  <si>
    <t>100ms</t>
  </si>
  <si>
    <t>a = iSOA1/tSOA1^m</t>
  </si>
  <si>
    <t>Final SOA</t>
  </si>
  <si>
    <t>m = log(iSOA1/iSOA2)/log(tSOA1/tSOA2)</t>
  </si>
  <si>
    <r>
      <rPr>
        <rFont val="Arial"/>
        <color theme="1"/>
        <sz val="10.0"/>
        <vertAlign val="superscript"/>
      </rPr>
      <t>o</t>
    </r>
    <r>
      <rPr>
        <rFont val="Arial"/>
        <color theme="1"/>
        <sz val="10.0"/>
      </rPr>
      <t>C</t>
    </r>
  </si>
  <si>
    <t>SOA Check - Based on Timer</t>
  </si>
  <si>
    <t>SOA Predictor - dv/dt start-up</t>
  </si>
  <si>
    <t>time</t>
  </si>
  <si>
    <t>Voltage</t>
  </si>
  <si>
    <t>Lower time (adjusted)</t>
  </si>
  <si>
    <t>Higher timer</t>
  </si>
  <si>
    <t>Higher time</t>
  </si>
  <si>
    <t>Higher time (adjusted)</t>
  </si>
  <si>
    <t>I (lower time)</t>
  </si>
  <si>
    <t>I (higher time)</t>
  </si>
  <si>
    <t>Assuming Power vs time is linear on a log-log plot</t>
  </si>
  <si>
    <t>&lt;-- Cannot plot zero on a log graph. If slope ~=0, then use 1e-12 as value</t>
  </si>
  <si>
    <t>Extr. I</t>
  </si>
  <si>
    <t>Interpolated Power=</t>
  </si>
  <si>
    <t>board hot?</t>
  </si>
  <si>
    <t>Derating factor =</t>
  </si>
  <si>
    <t>Temp for derating</t>
  </si>
  <si>
    <t xml:space="preserve">Max Power with Temp Derating = </t>
  </si>
  <si>
    <t>SOA Coefficients</t>
  </si>
  <si>
    <t>0.01ms to 0.1 ms</t>
  </si>
  <si>
    <t>0.1ms to 1ms</t>
  </si>
  <si>
    <t>1ms to 10ms</t>
  </si>
  <si>
    <t>10ms to 100ms</t>
  </si>
  <si>
    <t>t1</t>
  </si>
  <si>
    <t>t2</t>
  </si>
  <si>
    <t>MOSFET's SOA</t>
  </si>
  <si>
    <r>
      <rPr>
        <rFont val="Arial"/>
        <b/>
        <color theme="1"/>
        <sz val="10.0"/>
      </rPr>
      <t>V</t>
    </r>
    <r>
      <rPr>
        <rFont val="Arial"/>
        <b/>
        <color theme="1"/>
        <sz val="10.0"/>
        <vertAlign val="subscript"/>
      </rPr>
      <t>DS</t>
    </r>
  </si>
  <si>
    <r>
      <rPr>
        <rFont val="Arial"/>
        <b/>
        <color theme="1"/>
        <sz val="10.0"/>
      </rPr>
      <t>I</t>
    </r>
    <r>
      <rPr>
        <rFont val="Arial"/>
        <b/>
        <color theme="1"/>
        <sz val="10.0"/>
        <vertAlign val="subscript"/>
      </rPr>
      <t>D</t>
    </r>
  </si>
  <si>
    <t>(V)</t>
  </si>
  <si>
    <t>(A)</t>
  </si>
  <si>
    <t>FET 2</t>
  </si>
  <si>
    <r>
      <rPr>
        <rFont val="Arial"/>
        <color theme="1"/>
        <sz val="10.0"/>
        <vertAlign val="superscript"/>
      </rPr>
      <t>o</t>
    </r>
    <r>
      <rPr>
        <rFont val="Arial"/>
        <color theme="1"/>
        <sz val="10.0"/>
      </rPr>
      <t>C</t>
    </r>
  </si>
  <si>
    <r>
      <rPr>
        <rFont val="Arial"/>
        <b/>
        <color theme="1"/>
        <sz val="10.0"/>
      </rPr>
      <t>V</t>
    </r>
    <r>
      <rPr>
        <rFont val="Arial"/>
        <b/>
        <color theme="1"/>
        <sz val="10.0"/>
        <vertAlign val="subscript"/>
      </rPr>
      <t>DS</t>
    </r>
  </si>
  <si>
    <r>
      <rPr>
        <rFont val="Arial"/>
        <b/>
        <color theme="1"/>
        <sz val="10.0"/>
      </rPr>
      <t>I</t>
    </r>
    <r>
      <rPr>
        <rFont val="Arial"/>
        <b/>
        <color theme="1"/>
        <sz val="10.0"/>
        <vertAlign val="subscript"/>
      </rPr>
      <t>D</t>
    </r>
  </si>
  <si>
    <t>FET 3</t>
  </si>
  <si>
    <r>
      <rPr>
        <rFont val="Arial"/>
        <color theme="1"/>
        <sz val="10.0"/>
        <vertAlign val="superscript"/>
      </rPr>
      <t>o</t>
    </r>
    <r>
      <rPr>
        <rFont val="Arial"/>
        <color theme="1"/>
        <sz val="10.0"/>
      </rPr>
      <t>C</t>
    </r>
  </si>
  <si>
    <r>
      <rPr>
        <rFont val="Arial"/>
        <b/>
        <color theme="1"/>
        <sz val="10.0"/>
      </rPr>
      <t>V</t>
    </r>
    <r>
      <rPr>
        <rFont val="Arial"/>
        <b/>
        <color theme="1"/>
        <sz val="10.0"/>
        <vertAlign val="subscript"/>
      </rPr>
      <t>DS</t>
    </r>
  </si>
  <si>
    <r>
      <rPr>
        <rFont val="Arial"/>
        <b/>
        <color theme="1"/>
        <sz val="10.0"/>
      </rPr>
      <t>I</t>
    </r>
    <r>
      <rPr>
        <rFont val="Arial"/>
        <b/>
        <color theme="1"/>
        <sz val="10.0"/>
        <vertAlign val="subscript"/>
      </rPr>
      <t>D</t>
    </r>
  </si>
  <si>
    <t xml:space="preserve">Key Equations for SOA margin estimate: </t>
  </si>
  <si>
    <t>1) Get total Energy = 1/2 CV^2 + E_load (t_worksheet) * t_start / t_ worksheet</t>
  </si>
  <si>
    <t xml:space="preserve">     note:  t_worksheet is the start time from the start-up worksheet.  E_load = Total Energy @ Start-up - 1/2CV^2</t>
  </si>
  <si>
    <t>2) Get peak power:  4 Possible points with peak power</t>
  </si>
  <si>
    <t xml:space="preserve">      a) At Vin = 0 [mainly if there is no load or constant current load that starts at Vout = 0=</t>
  </si>
  <si>
    <t xml:space="preserve">      b) At Vin = Load start [ constant current=</t>
  </si>
  <si>
    <t xml:space="preserve">      c) When derivative of power = 0  [Peak, applies to resistive loads only=</t>
  </si>
  <si>
    <t xml:space="preserve">                </t>
  </si>
  <si>
    <t xml:space="preserve"> P = (I_cap + Vout/R ) * (Vin - Vout) = Icap * Vin - Icap * Vout +Vin * Vout / R - Vout^2 / R </t>
  </si>
  <si>
    <t xml:space="preserve"> =&gt;  dP/dVout =  -Icap + Vin/R -2Vout /R ;  Zero when Vout = -R*I_cap / 2 + Vin / 2</t>
  </si>
  <si>
    <t>Copied Inputs</t>
  </si>
  <si>
    <r>
      <rPr>
        <rFont val="Calibri"/>
        <color theme="1"/>
        <sz val="10.0"/>
      </rPr>
      <t>°</t>
    </r>
    <r>
      <rPr>
        <rFont val="Arial"/>
        <color theme="1"/>
        <sz val="11.0"/>
      </rPr>
      <t>C</t>
    </r>
  </si>
  <si>
    <t>Temp_start_up</t>
  </si>
  <si>
    <t>SOA margin target</t>
  </si>
  <si>
    <t>Cap Energy (J)</t>
  </si>
  <si>
    <t>0.01 to 0.1 ms</t>
  </si>
  <si>
    <t>0.1 to 1 ms</t>
  </si>
  <si>
    <t>1 to 10 ms</t>
  </si>
  <si>
    <t>10 to 100 ms</t>
  </si>
  <si>
    <t>E_load (t_worksheet)  (J)</t>
  </si>
  <si>
    <t>t_worksheet (ms)</t>
  </si>
  <si>
    <t>Initial</t>
  </si>
  <si>
    <t xml:space="preserve">max slew rate </t>
  </si>
  <si>
    <t>Upper bound Slew Rate (4ms start-up) (V/ms)</t>
  </si>
  <si>
    <t>min slew rate</t>
  </si>
  <si>
    <t>Min Slew Rate (400 ms start - up) (V/ms)</t>
  </si>
  <si>
    <t># of points</t>
  </si>
  <si>
    <t>mult per point</t>
  </si>
  <si>
    <t>slew rate (V/ms)</t>
  </si>
  <si>
    <t>t_start (ms)</t>
  </si>
  <si>
    <t>I_cap (A)</t>
  </si>
  <si>
    <t>Total FET Energy (J)</t>
  </si>
  <si>
    <t>Power (Vout= 0) , (W)</t>
  </si>
  <si>
    <t>Power (load on), (W)</t>
  </si>
  <si>
    <t>Vout (dP/dVout = 0) (V)</t>
  </si>
  <si>
    <t xml:space="preserve">Power (@ Vout above, if applicable) </t>
  </si>
  <si>
    <t>max power (W)</t>
  </si>
  <si>
    <t>Equivalent time for SOA (ms)</t>
  </si>
  <si>
    <t>Available SOA (W)</t>
  </si>
  <si>
    <t>Derated for Temp</t>
  </si>
  <si>
    <t xml:space="preserve">Pass? </t>
  </si>
  <si>
    <t>N</t>
  </si>
  <si>
    <t>first yes</t>
  </si>
  <si>
    <t>2nd yes</t>
  </si>
  <si>
    <t>Mult 1</t>
  </si>
  <si>
    <t>mult2</t>
  </si>
  <si>
    <r>
      <rPr>
        <rFont val="Calibri"/>
        <color theme="1"/>
        <sz val="10.0"/>
      </rPr>
      <t>°</t>
    </r>
    <r>
      <rPr>
        <rFont val="Arial"/>
        <color theme="1"/>
        <sz val="11.0"/>
      </rPr>
      <t>C</t>
    </r>
  </si>
  <si>
    <t>0.1 to 1ms</t>
  </si>
  <si>
    <r>
      <rPr>
        <rFont val="Calibri"/>
        <color theme="1"/>
        <sz val="10.0"/>
      </rPr>
      <t>°</t>
    </r>
    <r>
      <rPr>
        <rFont val="Arial"/>
        <color theme="1"/>
        <sz val="11.0"/>
      </rPr>
      <t>C</t>
    </r>
  </si>
</sst>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00"/>
    <numFmt numFmtId="165" formatCode="0.0"/>
    <numFmt numFmtId="166" formatCode="[$$-409]#,##0.000"/>
    <numFmt numFmtId="167" formatCode="0.0000"/>
    <numFmt numFmtId="168" formatCode="##0.00E+0"/>
  </numFmts>
  <fonts count="55">
    <font>
      <sz val="10.0"/>
      <color rgb="FF000000"/>
      <name val="Arial"/>
    </font>
    <font>
      <sz val="10.0"/>
      <color theme="1"/>
      <name val="Arial"/>
    </font>
    <font>
      <b/>
      <sz val="24.0"/>
      <color theme="1"/>
      <name val="Arial"/>
    </font>
    <font>
      <sz val="12.0"/>
      <color theme="1"/>
      <name val="Open Sans"/>
    </font>
    <font>
      <b/>
      <sz val="18.0"/>
      <color theme="1"/>
      <name val="Arial"/>
    </font>
    <font>
      <b/>
      <i/>
      <sz val="16.0"/>
      <color theme="1"/>
      <name val="Arial"/>
    </font>
    <font>
      <b/>
      <i/>
      <sz val="11.0"/>
      <color theme="1"/>
      <name val="Arial"/>
    </font>
    <font>
      <u/>
      <sz val="10.0"/>
      <color theme="10"/>
      <name val="Arial"/>
    </font>
    <font>
      <u/>
      <sz val="10.0"/>
      <color theme="10"/>
      <name val="Arial"/>
    </font>
    <font/>
    <font>
      <b/>
      <i/>
      <sz val="10.0"/>
      <color rgb="FF0000FF"/>
      <name val="Arial"/>
    </font>
    <font>
      <b/>
      <i/>
      <sz val="10.0"/>
      <color theme="1"/>
      <name val="Arial"/>
    </font>
    <font>
      <sz val="10.0"/>
      <color rgb="FF0000FF"/>
      <name val="Arial"/>
    </font>
    <font>
      <sz val="11.0"/>
      <color rgb="FF000000"/>
      <name val="Arial"/>
    </font>
    <font>
      <sz val="24.0"/>
      <color theme="0"/>
      <name val="Arial"/>
    </font>
    <font>
      <sz val="26.0"/>
      <color theme="0"/>
      <name val="Arial"/>
    </font>
    <font>
      <sz val="10.0"/>
      <color theme="0"/>
      <name val="Calibri"/>
    </font>
    <font>
      <sz val="10.0"/>
      <color theme="1"/>
      <name val="Calibri"/>
    </font>
    <font>
      <u/>
      <sz val="10.0"/>
      <color theme="0"/>
      <name val="Arial"/>
    </font>
    <font>
      <b/>
      <sz val="12.0"/>
      <color rgb="FFFF0000"/>
      <name val="Calibri"/>
    </font>
    <font>
      <sz val="10.0"/>
      <color rgb="FF969696"/>
      <name val="Arial"/>
    </font>
    <font>
      <b/>
      <sz val="11.0"/>
      <color theme="1"/>
      <name val="Arial"/>
    </font>
    <font>
      <u/>
      <sz val="12.0"/>
      <color theme="10"/>
      <name val="Arial"/>
    </font>
    <font>
      <sz val="10.0"/>
      <color rgb="FFFF0000"/>
      <name val="Arial"/>
    </font>
    <font>
      <u/>
      <sz val="12.0"/>
      <color theme="10"/>
      <name val="Arial"/>
    </font>
    <font>
      <u/>
      <sz val="10.0"/>
      <color theme="10"/>
      <name val="Arial"/>
    </font>
    <font>
      <u/>
      <sz val="10.0"/>
      <color theme="10"/>
      <name val="Arial"/>
    </font>
    <font>
      <b/>
      <sz val="11.0"/>
      <color rgb="FF0000FF"/>
      <name val="Arial"/>
    </font>
    <font>
      <u/>
      <sz val="10.0"/>
      <color theme="10"/>
      <name val="Arial"/>
    </font>
    <font>
      <u/>
      <sz val="10.0"/>
      <color theme="10"/>
      <name val="Arial"/>
    </font>
    <font>
      <b/>
      <sz val="10.0"/>
      <color theme="1"/>
      <name val="Arial"/>
    </font>
    <font>
      <sz val="10.0"/>
      <color theme="1"/>
      <name val="Noto Sans Symbols"/>
    </font>
    <font>
      <color theme="1"/>
      <name val="Calibri"/>
    </font>
    <font>
      <u/>
      <sz val="10.0"/>
      <color theme="10"/>
      <name val="Arial"/>
    </font>
    <font>
      <u/>
      <sz val="10.0"/>
      <color theme="10"/>
      <name val="Arial"/>
    </font>
    <font>
      <b/>
      <sz val="12.0"/>
      <color theme="0"/>
      <name val="Arial"/>
    </font>
    <font>
      <b/>
      <sz val="9.0"/>
      <color rgb="FFFF0000"/>
      <name val="Arial"/>
    </font>
    <font>
      <u/>
      <sz val="10.0"/>
      <color theme="10"/>
      <name val="Arial"/>
    </font>
    <font>
      <b/>
      <sz val="10.0"/>
      <color rgb="FFFF0000"/>
      <name val="Arial"/>
    </font>
    <font>
      <b/>
      <u/>
      <sz val="10.0"/>
      <color theme="1"/>
      <name val="Arial"/>
    </font>
    <font>
      <u/>
      <sz val="10.0"/>
      <color theme="10"/>
      <name val="Arial"/>
    </font>
    <font>
      <sz val="11.0"/>
      <color theme="1"/>
      <name val="Arial"/>
    </font>
    <font>
      <b/>
      <sz val="10.0"/>
      <color theme="0"/>
      <name val="Arial"/>
    </font>
    <font>
      <b/>
      <u/>
      <sz val="10.0"/>
      <color theme="1"/>
      <name val="Arial"/>
    </font>
    <font>
      <u/>
      <sz val="10.0"/>
      <color theme="1"/>
      <name val="Arial"/>
    </font>
    <font>
      <u/>
      <sz val="10.0"/>
      <color theme="10"/>
      <name val="Arial"/>
    </font>
    <font>
      <sz val="14.0"/>
      <color theme="1"/>
      <name val="Arial"/>
    </font>
    <font>
      <u/>
      <sz val="10.0"/>
      <color theme="1"/>
      <name val="Arial"/>
    </font>
    <font>
      <b/>
      <u/>
      <sz val="10.0"/>
      <color theme="1"/>
      <name val="Arial"/>
    </font>
    <font>
      <b/>
      <u/>
      <sz val="10.0"/>
      <color theme="1"/>
      <name val="Arial"/>
    </font>
    <font>
      <sz val="25.0"/>
      <color theme="1"/>
      <name val="Arial"/>
    </font>
    <font>
      <u/>
      <sz val="10.0"/>
      <color theme="1"/>
      <name val="Arial"/>
    </font>
    <font>
      <sz val="11.0"/>
      <color rgb="FF000000"/>
      <name val="Calibri"/>
    </font>
    <font>
      <u/>
      <sz val="10.0"/>
      <color theme="1"/>
      <name val="Arial"/>
    </font>
    <font>
      <u/>
      <sz val="10.0"/>
      <color theme="1"/>
      <name val="Arial"/>
    </font>
  </fonts>
  <fills count="14">
    <fill>
      <patternFill patternType="none"/>
    </fill>
    <fill>
      <patternFill patternType="lightGray"/>
    </fill>
    <fill>
      <patternFill patternType="solid">
        <fgColor rgb="FFFFFF00"/>
        <bgColor rgb="FFFFFF00"/>
      </patternFill>
    </fill>
    <fill>
      <patternFill patternType="solid">
        <fgColor rgb="FFFF0000"/>
        <bgColor rgb="FFFF0000"/>
      </patternFill>
    </fill>
    <fill>
      <patternFill patternType="solid">
        <fgColor theme="0"/>
        <bgColor theme="0"/>
      </patternFill>
    </fill>
    <fill>
      <patternFill patternType="solid">
        <fgColor rgb="FFFFFFFF"/>
        <bgColor rgb="FFFFFFFF"/>
      </patternFill>
    </fill>
    <fill>
      <patternFill patternType="solid">
        <fgColor rgb="FFC2D69B"/>
        <bgColor rgb="FFC2D69B"/>
      </patternFill>
    </fill>
    <fill>
      <patternFill patternType="solid">
        <fgColor rgb="FFD8D8D8"/>
        <bgColor rgb="FFD8D8D8"/>
      </patternFill>
    </fill>
    <fill>
      <patternFill patternType="solid">
        <fgColor rgb="FFD99594"/>
        <bgColor rgb="FFD99594"/>
      </patternFill>
    </fill>
    <fill>
      <patternFill patternType="solid">
        <fgColor rgb="FFFFC000"/>
        <bgColor rgb="FFFFC000"/>
      </patternFill>
    </fill>
    <fill>
      <patternFill patternType="solid">
        <fgColor rgb="FF0000FF"/>
        <bgColor rgb="FF0000FF"/>
      </patternFill>
    </fill>
    <fill>
      <patternFill patternType="solid">
        <fgColor rgb="FF5F497A"/>
        <bgColor rgb="FF5F497A"/>
      </patternFill>
    </fill>
    <fill>
      <patternFill patternType="solid">
        <fgColor rgb="FF366092"/>
        <bgColor rgb="FF366092"/>
      </patternFill>
    </fill>
    <fill>
      <patternFill patternType="solid">
        <fgColor rgb="FFBFBFBF"/>
        <bgColor rgb="FFBFBFBF"/>
      </patternFill>
    </fill>
  </fills>
  <borders count="88">
    <border/>
    <border>
      <left style="thick">
        <color rgb="FF0000FF"/>
      </left>
      <right/>
      <top style="thick">
        <color rgb="FF0000FF"/>
      </top>
      <bottom/>
    </border>
    <border>
      <left/>
      <right/>
      <top style="thick">
        <color rgb="FF0000FF"/>
      </top>
      <bottom/>
    </border>
    <border>
      <left/>
      <right style="thick">
        <color rgb="FF0000FF"/>
      </right>
      <top style="thick">
        <color rgb="FF0000FF"/>
      </top>
      <bottom/>
    </border>
    <border>
      <left style="thick">
        <color rgb="FF0000FF"/>
      </left>
      <right/>
      <top/>
      <bottom/>
    </border>
    <border>
      <left/>
      <right/>
      <top/>
      <bottom/>
    </border>
    <border>
      <left/>
      <right style="thick">
        <color rgb="FF0000FF"/>
      </right>
      <top/>
      <bottom/>
    </border>
    <border>
      <left/>
      <top/>
      <bottom/>
    </border>
    <border>
      <top/>
      <bottom/>
    </border>
    <border>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ck">
        <color rgb="FF0000FF"/>
      </left>
      <right/>
      <top/>
      <bottom style="thick">
        <color rgb="FF0000FF"/>
      </bottom>
    </border>
    <border>
      <left/>
      <right/>
      <top/>
      <bottom style="thick">
        <color rgb="FF0000FF"/>
      </bottom>
    </border>
    <border>
      <left/>
      <right style="thick">
        <color rgb="FF0000FF"/>
      </right>
      <top/>
      <bottom style="thick">
        <color rgb="FF0000FF"/>
      </bottom>
    </border>
    <border>
      <left style="medium">
        <color rgb="FF000000"/>
      </left>
      <top style="medium">
        <color rgb="FF000000"/>
      </top>
      <bottom/>
    </border>
    <border>
      <top style="medium">
        <color rgb="FF000000"/>
      </top>
      <bottom/>
    </border>
    <border>
      <right/>
      <top style="medium">
        <color rgb="FF000000"/>
      </top>
      <bottom/>
    </border>
    <border>
      <left/>
      <right/>
      <top style="medium">
        <color rgb="FF000000"/>
      </top>
      <bottom/>
    </border>
    <border>
      <left style="medium">
        <color rgb="FF000000"/>
      </left>
      <right/>
      <top style="medium">
        <color rgb="FF000000"/>
      </top>
      <bottom/>
    </border>
    <border>
      <left style="medium">
        <color rgb="FF000000"/>
      </left>
      <right/>
      <top/>
      <bottom/>
    </border>
    <border>
      <left style="thin">
        <color rgb="FF000000"/>
      </left>
      <right style="thin">
        <color rgb="FF000000"/>
      </right>
      <top style="thin">
        <color rgb="FF000000"/>
      </top>
      <bottom style="thin">
        <color rgb="FF000000"/>
      </bottom>
    </border>
    <border>
      <left style="thin">
        <color rgb="FF000000"/>
      </left>
      <top/>
      <bottom/>
    </border>
    <border>
      <left style="thin">
        <color rgb="FF000000"/>
      </left>
      <top/>
    </border>
    <border>
      <top/>
    </border>
    <border>
      <right/>
      <top/>
    </border>
    <border>
      <left style="thin">
        <color rgb="FF000000"/>
      </left>
      <bottom/>
    </border>
    <border>
      <bottom/>
    </border>
    <border>
      <right/>
      <bottom/>
    </border>
    <border>
      <left/>
      <top/>
    </border>
    <border>
      <left/>
      <bottom/>
    </border>
    <border>
      <left style="medium">
        <color rgb="FF000000"/>
      </left>
      <right/>
      <top/>
      <bottom style="medium">
        <color rgb="FF000000"/>
      </bottom>
    </border>
    <border>
      <left/>
      <right/>
      <top/>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border>
    <border>
      <left/>
      <right style="medium">
        <color rgb="FF000000"/>
      </right>
      <top style="medium">
        <color rgb="FF000000"/>
      </top>
      <bottom/>
    </border>
    <border>
      <left style="thin">
        <color rgb="FF000000"/>
      </left>
      <right style="thin">
        <color rgb="FF000000"/>
      </right>
      <top/>
      <bottom/>
    </border>
    <border>
      <left/>
      <right style="medium">
        <color rgb="FF000000"/>
      </right>
      <top/>
      <bottom/>
    </border>
    <border>
      <left style="thin">
        <color rgb="FF000000"/>
      </left>
      <right style="thin">
        <color rgb="FF000000"/>
      </right>
      <top style="thin">
        <color rgb="FF000000"/>
      </top>
      <bottom/>
    </border>
    <border>
      <left style="thin">
        <color rgb="FF000000"/>
      </left>
    </border>
    <border>
      <right/>
    </border>
    <border>
      <left/>
      <right style="thin">
        <color rgb="FF000000"/>
      </right>
      <top/>
      <bottom/>
    </border>
    <border>
      <left style="thin">
        <color rgb="FF000000"/>
      </left>
      <bottom style="medium">
        <color rgb="FF000000"/>
      </bottom>
    </border>
    <border>
      <right/>
      <bottom style="medium">
        <color rgb="FF000000"/>
      </bottom>
    </border>
    <border>
      <left/>
      <right style="thin">
        <color rgb="FF000000"/>
      </right>
      <top style="medium">
        <color rgb="FF000000"/>
      </top>
      <bottom/>
    </border>
    <border>
      <left style="thin">
        <color rgb="FF000000"/>
      </left>
      <right/>
      <top/>
      <bottom/>
    </border>
    <border>
      <left style="medium">
        <color rgb="FF000000"/>
      </left>
      <right/>
      <top/>
    </border>
    <border>
      <left style="medium">
        <color rgb="FF000000"/>
      </left>
      <right/>
    </border>
    <border>
      <left/>
      <right style="thin">
        <color rgb="FF000000"/>
      </right>
      <top style="thin">
        <color rgb="FF000000"/>
      </top>
      <bottom style="thin">
        <color rgb="FF000000"/>
      </bottom>
    </border>
    <border>
      <left style="medium">
        <color rgb="FF000000"/>
      </left>
      <right/>
      <bottom/>
    </border>
    <border>
      <left/>
      <right/>
      <top style="thin">
        <color rgb="FF000000"/>
      </top>
      <bottom/>
    </border>
    <border>
      <left/>
      <right/>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right style="thin">
        <color rgb="FF000000"/>
      </right>
      <top/>
      <bottom style="medium">
        <color rgb="FF000000"/>
      </bottom>
    </border>
    <border>
      <left style="thin">
        <color rgb="FF000000"/>
      </left>
      <right/>
      <top/>
      <bottom style="medium">
        <color rgb="FF000000"/>
      </bottom>
    </border>
    <border>
      <left/>
      <bottom style="medium">
        <color rgb="FF000000"/>
      </bottom>
    </border>
    <border>
      <left/>
      <right style="medium">
        <color rgb="FF000000"/>
      </right>
      <top/>
      <bottom style="medium">
        <color rgb="FF000000"/>
      </bottom>
    </border>
    <border>
      <left style="thin">
        <color rgb="FF000000"/>
      </left>
      <right style="thin">
        <color rgb="FF000000"/>
      </right>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border>
    <border>
      <left/>
    </border>
    <border>
      <right style="thin">
        <color rgb="FF000000"/>
      </right>
    </border>
    <border>
      <right style="thin">
        <color rgb="FF000000"/>
      </right>
      <bottom/>
    </border>
    <border>
      <left style="thin">
        <color rgb="FF000000"/>
      </left>
      <right style="thin">
        <color rgb="FF000000"/>
      </right>
      <top/>
      <bottom style="thin">
        <color rgb="FF000000"/>
      </bottom>
    </border>
    <border>
      <left/>
      <top/>
      <bottom style="thin">
        <color rgb="FF000000"/>
      </bottom>
    </border>
    <border>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s>
  <cellStyleXfs count="1">
    <xf borderId="0" fillId="0" fontId="0" numFmtId="0" applyAlignment="1" applyFont="1"/>
  </cellStyleXfs>
  <cellXfs count="315">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5" fillId="2" fontId="2" numFmtId="0" xfId="0" applyBorder="1" applyFont="1"/>
    <xf borderId="5" fillId="2" fontId="3" numFmtId="0" xfId="0" applyBorder="1" applyFont="1"/>
    <xf borderId="5" fillId="2" fontId="4" numFmtId="0" xfId="0" applyBorder="1" applyFont="1"/>
    <xf borderId="5" fillId="2" fontId="5" numFmtId="0" xfId="0" applyBorder="1" applyFont="1"/>
    <xf borderId="0" fillId="0" fontId="1" numFmtId="0" xfId="0" applyFont="1"/>
    <xf borderId="5" fillId="2" fontId="6" numFmtId="0" xfId="0" applyBorder="1" applyFont="1"/>
    <xf borderId="5" fillId="2" fontId="6" numFmtId="0" xfId="0" applyAlignment="1" applyBorder="1" applyFont="1">
      <alignment shrinkToFit="0" wrapText="1"/>
    </xf>
    <xf borderId="5" fillId="2" fontId="7" numFmtId="0" xfId="0" applyBorder="1" applyFont="1"/>
    <xf borderId="7" fillId="2" fontId="8" numFmtId="0" xfId="0" applyAlignment="1" applyBorder="1" applyFont="1">
      <alignment horizontal="left"/>
    </xf>
    <xf borderId="8" fillId="0" fontId="9" numFmtId="0" xfId="0" applyBorder="1" applyFont="1"/>
    <xf borderId="9" fillId="0" fontId="9" numFmtId="0" xfId="0" applyBorder="1" applyFont="1"/>
    <xf borderId="4" fillId="2" fontId="10" numFmtId="0" xfId="0" applyBorder="1" applyFont="1"/>
    <xf borderId="5" fillId="2" fontId="11" numFmtId="0" xfId="0" applyBorder="1" applyFont="1"/>
    <xf borderId="4" fillId="2" fontId="12" numFmtId="0" xfId="0" applyBorder="1" applyFont="1"/>
    <xf borderId="5" fillId="2" fontId="10" numFmtId="0" xfId="0" applyBorder="1" applyFont="1"/>
    <xf borderId="5" fillId="2" fontId="12" numFmtId="0" xfId="0" applyBorder="1" applyFont="1"/>
    <xf borderId="10" fillId="0" fontId="13" numFmtId="0" xfId="0" applyAlignment="1" applyBorder="1" applyFont="1">
      <alignment horizontal="center" shrinkToFit="0" vertical="center" wrapText="1"/>
    </xf>
    <xf borderId="11" fillId="0" fontId="9" numFmtId="0" xfId="0" applyBorder="1" applyFont="1"/>
    <xf borderId="12" fillId="0" fontId="9" numFmtId="0" xfId="0" applyBorder="1" applyFont="1"/>
    <xf borderId="13" fillId="0" fontId="9" numFmtId="0" xfId="0" applyBorder="1" applyFont="1"/>
    <xf borderId="14" fillId="0" fontId="9" numFmtId="0" xfId="0" applyBorder="1" applyFont="1"/>
    <xf borderId="15" fillId="0" fontId="9" numFmtId="0" xfId="0" applyBorder="1" applyFont="1"/>
    <xf borderId="16" fillId="0" fontId="9" numFmtId="0" xfId="0" applyBorder="1" applyFont="1"/>
    <xf borderId="17" fillId="0" fontId="9" numFmtId="0" xfId="0" applyBorder="1" applyFont="1"/>
    <xf borderId="18" fillId="2" fontId="1" numFmtId="0" xfId="0" applyBorder="1" applyFont="1"/>
    <xf borderId="19" fillId="2" fontId="1" numFmtId="0" xfId="0" applyBorder="1" applyFont="1"/>
    <xf borderId="20" fillId="2" fontId="1" numFmtId="0" xfId="0" applyBorder="1" applyFont="1"/>
    <xf borderId="21" fillId="3" fontId="14" numFmtId="0" xfId="0" applyAlignment="1" applyBorder="1" applyFill="1" applyFont="1">
      <alignment horizontal="left" vertical="center"/>
    </xf>
    <xf borderId="22" fillId="0" fontId="9" numFmtId="0" xfId="0" applyBorder="1" applyFont="1"/>
    <xf borderId="23" fillId="0" fontId="9" numFmtId="0" xfId="0" applyBorder="1" applyFont="1"/>
    <xf borderId="24" fillId="4" fontId="15" numFmtId="0" xfId="0" applyAlignment="1" applyBorder="1" applyFill="1" applyFont="1">
      <alignment horizontal="center" vertical="center"/>
    </xf>
    <xf borderId="5" fillId="4" fontId="16" numFmtId="0" xfId="0" applyBorder="1" applyFont="1"/>
    <xf borderId="5" fillId="4" fontId="17" numFmtId="0" xfId="0" applyBorder="1" applyFont="1"/>
    <xf borderId="5" fillId="3" fontId="17" numFmtId="0" xfId="0" applyBorder="1" applyFont="1"/>
    <xf borderId="0" fillId="0" fontId="17" numFmtId="0" xfId="0" applyFont="1"/>
    <xf borderId="5" fillId="5" fontId="1" numFmtId="0" xfId="0" applyBorder="1" applyFill="1" applyFont="1"/>
    <xf borderId="5" fillId="5" fontId="18" numFmtId="0" xfId="0" applyBorder="1" applyFont="1"/>
    <xf borderId="5" fillId="5" fontId="1" numFmtId="0" xfId="0" applyAlignment="1" applyBorder="1" applyFont="1">
      <alignment horizontal="center"/>
    </xf>
    <xf borderId="7" fillId="4" fontId="19" numFmtId="0" xfId="0" applyAlignment="1" applyBorder="1" applyFont="1">
      <alignment horizontal="center" vertical="center"/>
    </xf>
    <xf borderId="5" fillId="4" fontId="1" numFmtId="0" xfId="0" applyBorder="1" applyFont="1"/>
    <xf borderId="25" fillId="5" fontId="20" numFmtId="14" xfId="0" applyAlignment="1" applyBorder="1" applyFont="1" applyNumberFormat="1">
      <alignment horizontal="left"/>
    </xf>
    <xf borderId="24" fillId="4" fontId="1" numFmtId="0" xfId="0" applyBorder="1" applyFont="1"/>
    <xf borderId="24" fillId="5" fontId="1" numFmtId="0" xfId="0" applyAlignment="1" applyBorder="1" applyFont="1">
      <alignment horizontal="center"/>
    </xf>
    <xf borderId="24" fillId="5" fontId="1" numFmtId="0" xfId="0" applyBorder="1" applyFont="1"/>
    <xf borderId="26" fillId="5" fontId="20" numFmtId="14" xfId="0" applyAlignment="1" applyBorder="1" applyFont="1" applyNumberFormat="1">
      <alignment horizontal="left"/>
    </xf>
    <xf borderId="27" fillId="6" fontId="1" numFmtId="0" xfId="0" applyAlignment="1" applyBorder="1" applyFill="1" applyFont="1">
      <alignment horizontal="center"/>
    </xf>
    <xf borderId="28" fillId="5" fontId="1" numFmtId="0" xfId="0" applyAlignment="1" applyBorder="1" applyFont="1">
      <alignment horizontal="left"/>
    </xf>
    <xf borderId="26" fillId="5" fontId="1" numFmtId="0" xfId="0" applyBorder="1" applyFont="1"/>
    <xf borderId="27" fillId="5" fontId="1" numFmtId="0" xfId="0" applyAlignment="1" applyBorder="1" applyFont="1">
      <alignment horizontal="center"/>
    </xf>
    <xf borderId="26" fillId="4" fontId="21" numFmtId="0" xfId="0" applyBorder="1" applyFont="1"/>
    <xf borderId="27" fillId="2" fontId="1" numFmtId="0" xfId="0" applyAlignment="1" applyBorder="1" applyFont="1">
      <alignment horizontal="center"/>
    </xf>
    <xf borderId="29" fillId="5" fontId="1" numFmtId="0" xfId="0" applyAlignment="1" applyBorder="1" applyFont="1">
      <alignment horizontal="left" shrinkToFit="0" vertical="center" wrapText="1"/>
    </xf>
    <xf borderId="30" fillId="0" fontId="9" numFmtId="0" xfId="0" applyBorder="1" applyFont="1"/>
    <xf borderId="31" fillId="0" fontId="9" numFmtId="0" xfId="0" applyBorder="1" applyFont="1"/>
    <xf borderId="5" fillId="5" fontId="22" numFmtId="0" xfId="0" applyAlignment="1" applyBorder="1" applyFont="1">
      <alignment shrinkToFit="0" wrapText="1"/>
    </xf>
    <xf borderId="27" fillId="3" fontId="23" numFmtId="0" xfId="0" applyAlignment="1" applyBorder="1" applyFont="1">
      <alignment horizontal="center"/>
    </xf>
    <xf borderId="32" fillId="0" fontId="9" numFmtId="0" xfId="0" applyBorder="1" applyFont="1"/>
    <xf borderId="33" fillId="0" fontId="9" numFmtId="0" xfId="0" applyBorder="1" applyFont="1"/>
    <xf borderId="34" fillId="0" fontId="9" numFmtId="0" xfId="0" applyBorder="1" applyFont="1"/>
    <xf borderId="5" fillId="5" fontId="24" numFmtId="0" xfId="0" applyAlignment="1" applyBorder="1" applyFont="1">
      <alignment horizontal="left" shrinkToFit="0" wrapText="1"/>
    </xf>
    <xf borderId="5" fillId="5" fontId="1" numFmtId="0" xfId="0" applyAlignment="1" applyBorder="1" applyFont="1">
      <alignment horizontal="right" vertical="center"/>
    </xf>
    <xf borderId="5" fillId="5" fontId="25" numFmtId="0" xfId="0" applyBorder="1" applyFont="1"/>
    <xf borderId="35" fillId="5" fontId="26" numFmtId="0" xfId="0" applyAlignment="1" applyBorder="1" applyFont="1">
      <alignment horizontal="left" shrinkToFit="0" wrapText="1"/>
    </xf>
    <xf borderId="36" fillId="0" fontId="9" numFmtId="0" xfId="0" applyBorder="1" applyFont="1"/>
    <xf borderId="5" fillId="5" fontId="1" numFmtId="0" xfId="0" applyAlignment="1" applyBorder="1" applyFont="1">
      <alignment horizontal="center" vertical="center"/>
    </xf>
    <xf borderId="37" fillId="5" fontId="1" numFmtId="0" xfId="0" applyBorder="1" applyFont="1"/>
    <xf borderId="38" fillId="5" fontId="1" numFmtId="0" xfId="0" applyBorder="1" applyFont="1"/>
    <xf borderId="38" fillId="5" fontId="1" numFmtId="0" xfId="0" applyAlignment="1" applyBorder="1" applyFont="1">
      <alignment shrinkToFit="0" vertical="top" wrapText="1"/>
    </xf>
    <xf borderId="38" fillId="5" fontId="1" numFmtId="0" xfId="0" applyAlignment="1" applyBorder="1" applyFont="1">
      <alignment horizontal="center" vertical="center"/>
    </xf>
    <xf borderId="25" fillId="7" fontId="21" numFmtId="0" xfId="0" applyBorder="1" applyFill="1" applyFont="1"/>
    <xf borderId="24" fillId="5" fontId="1" numFmtId="0" xfId="0" applyAlignment="1" applyBorder="1" applyFont="1">
      <alignment horizontal="right" vertical="center"/>
    </xf>
    <xf borderId="39" fillId="6" fontId="1" numFmtId="0" xfId="0" applyAlignment="1" applyBorder="1" applyFont="1">
      <alignment horizontal="center" readingOrder="0" vertical="center"/>
    </xf>
    <xf borderId="40" fillId="5" fontId="1" numFmtId="0" xfId="0" applyAlignment="1" applyBorder="1" applyFont="1">
      <alignment horizontal="center" vertical="center"/>
    </xf>
    <xf borderId="41" fillId="5" fontId="1" numFmtId="0" xfId="0" applyBorder="1" applyFont="1"/>
    <xf borderId="26" fillId="5" fontId="27" numFmtId="0" xfId="0" applyBorder="1" applyFont="1"/>
    <xf borderId="27" fillId="6" fontId="1" numFmtId="0" xfId="0" applyAlignment="1" applyBorder="1" applyFont="1">
      <alignment horizontal="center" vertical="center"/>
    </xf>
    <xf borderId="42" fillId="5" fontId="1" numFmtId="0" xfId="0" applyAlignment="1" applyBorder="1" applyFont="1">
      <alignment horizontal="center" vertical="center"/>
    </xf>
    <xf borderId="43" fillId="5" fontId="1" numFmtId="0" xfId="0" applyBorder="1" applyFont="1"/>
    <xf borderId="27" fillId="6" fontId="1" numFmtId="0" xfId="0" applyAlignment="1" applyBorder="1" applyFont="1">
      <alignment horizontal="center" readingOrder="0" vertical="center"/>
    </xf>
    <xf borderId="44" fillId="6" fontId="1" numFmtId="0" xfId="0" applyAlignment="1" applyBorder="1" applyFont="1">
      <alignment horizontal="center" vertical="center"/>
    </xf>
    <xf borderId="29" fillId="5" fontId="1" numFmtId="0" xfId="0" applyAlignment="1" applyBorder="1" applyFont="1">
      <alignment horizontal="left" shrinkToFit="0" wrapText="1"/>
    </xf>
    <xf borderId="26" fillId="4" fontId="28" numFmtId="0" xfId="0" applyBorder="1" applyFont="1"/>
    <xf borderId="45" fillId="0" fontId="9" numFmtId="0" xfId="0" applyBorder="1" applyFont="1"/>
    <xf borderId="46" fillId="0" fontId="9" numFmtId="0" xfId="0" applyBorder="1" applyFont="1"/>
    <xf borderId="5" fillId="5" fontId="1" numFmtId="0" xfId="0" applyAlignment="1" applyBorder="1" applyFont="1">
      <alignment horizontal="right"/>
    </xf>
    <xf borderId="26" fillId="4" fontId="29" numFmtId="0" xfId="0" applyAlignment="1" applyBorder="1" applyFont="1">
      <alignment horizontal="left" shrinkToFit="0" wrapText="1"/>
    </xf>
    <xf borderId="47" fillId="5" fontId="1" numFmtId="0" xfId="0" applyAlignment="1" applyBorder="1" applyFont="1">
      <alignment horizontal="right"/>
    </xf>
    <xf borderId="44" fillId="6" fontId="1" numFmtId="164" xfId="0" applyAlignment="1" applyBorder="1" applyFont="1" applyNumberFormat="1">
      <alignment horizontal="center" vertical="center"/>
    </xf>
    <xf borderId="48" fillId="0" fontId="9" numFmtId="0" xfId="0" applyBorder="1" applyFont="1"/>
    <xf borderId="49" fillId="0" fontId="9" numFmtId="0" xfId="0" applyBorder="1" applyFont="1"/>
    <xf borderId="24" fillId="7" fontId="1" numFmtId="0" xfId="0" applyBorder="1" applyFont="1"/>
    <xf borderId="24" fillId="4" fontId="1" numFmtId="0" xfId="0" applyAlignment="1" applyBorder="1" applyFont="1">
      <alignment horizontal="right" vertical="center"/>
    </xf>
    <xf borderId="39" fillId="4" fontId="1" numFmtId="0" xfId="0" applyAlignment="1" applyBorder="1" applyFont="1">
      <alignment horizontal="center" vertical="center"/>
    </xf>
    <xf borderId="50" fillId="4" fontId="1" numFmtId="0" xfId="0" applyAlignment="1" applyBorder="1" applyFont="1">
      <alignment horizontal="center" vertical="center"/>
    </xf>
    <xf borderId="24" fillId="4" fontId="1" numFmtId="0" xfId="0" applyAlignment="1" applyBorder="1" applyFont="1">
      <alignment horizontal="center" vertical="center"/>
    </xf>
    <xf borderId="26" fillId="5" fontId="30" numFmtId="0" xfId="0" applyBorder="1" applyFont="1"/>
    <xf borderId="27" fillId="0" fontId="1" numFmtId="2" xfId="0" applyAlignment="1" applyBorder="1" applyFont="1" applyNumberFormat="1">
      <alignment horizontal="center" vertical="center"/>
    </xf>
    <xf borderId="27" fillId="0" fontId="1" numFmtId="0" xfId="0" applyAlignment="1" applyBorder="1" applyFont="1">
      <alignment horizontal="center" vertical="center"/>
    </xf>
    <xf borderId="42" fillId="5" fontId="31" numFmtId="0" xfId="0" applyAlignment="1" applyBorder="1" applyFont="1">
      <alignment horizontal="center" vertical="center"/>
    </xf>
    <xf borderId="51" fillId="5" fontId="31" numFmtId="0" xfId="0" applyAlignment="1" applyBorder="1" applyFont="1">
      <alignment horizontal="center" vertical="center"/>
    </xf>
    <xf borderId="5" fillId="5" fontId="31" numFmtId="0" xfId="0" applyAlignment="1" applyBorder="1" applyFont="1">
      <alignment horizontal="center" vertical="center"/>
    </xf>
    <xf borderId="0" fillId="0" fontId="32" numFmtId="0" xfId="0" applyFont="1"/>
    <xf borderId="26" fillId="4" fontId="33" numFmtId="0" xfId="0" applyAlignment="1" applyBorder="1" applyFont="1">
      <alignment vertical="top"/>
    </xf>
    <xf borderId="51" fillId="5" fontId="1" numFmtId="0" xfId="0" applyAlignment="1" applyBorder="1" applyFont="1">
      <alignment horizontal="center" vertical="center"/>
    </xf>
    <xf borderId="26" fillId="4" fontId="34" numFmtId="0" xfId="0" applyAlignment="1" applyBorder="1" applyFont="1">
      <alignment shrinkToFit="0" vertical="top" wrapText="1"/>
    </xf>
    <xf borderId="5" fillId="2" fontId="1" numFmtId="0" xfId="0" applyAlignment="1" applyBorder="1" applyFont="1">
      <alignment horizontal="right" vertical="center"/>
    </xf>
    <xf borderId="27" fillId="5" fontId="1" numFmtId="165" xfId="0" applyAlignment="1" applyBorder="1" applyFont="1" applyNumberFormat="1">
      <alignment horizontal="center" vertical="center"/>
    </xf>
    <xf borderId="5" fillId="6" fontId="1" numFmtId="0" xfId="0" applyBorder="1" applyFont="1"/>
    <xf borderId="5" fillId="6" fontId="1" numFmtId="0" xfId="0" applyAlignment="1" applyBorder="1" applyFont="1">
      <alignment horizontal="right" vertical="center"/>
    </xf>
    <xf borderId="5" fillId="8" fontId="1" numFmtId="0" xfId="0" applyBorder="1" applyFill="1" applyFont="1"/>
    <xf borderId="5" fillId="8" fontId="1" numFmtId="0" xfId="0" applyAlignment="1" applyBorder="1" applyFont="1">
      <alignment horizontal="right" vertical="center"/>
    </xf>
    <xf borderId="44" fillId="5" fontId="1" numFmtId="165" xfId="0" applyAlignment="1" applyBorder="1" applyFont="1" applyNumberFormat="1">
      <alignment horizontal="center" vertical="center"/>
    </xf>
    <xf borderId="35" fillId="5" fontId="1" numFmtId="0" xfId="0" applyAlignment="1" applyBorder="1" applyFont="1">
      <alignment horizontal="left" shrinkToFit="0" wrapText="1"/>
    </xf>
    <xf borderId="47" fillId="5" fontId="1" numFmtId="0" xfId="0" applyAlignment="1" applyBorder="1" applyFont="1">
      <alignment horizontal="right" vertical="center"/>
    </xf>
    <xf borderId="27" fillId="4" fontId="1" numFmtId="0" xfId="0" applyBorder="1" applyFont="1"/>
    <xf borderId="27" fillId="0" fontId="1" numFmtId="165" xfId="0" applyAlignment="1" applyBorder="1" applyFont="1" applyNumberFormat="1">
      <alignment horizontal="center" vertical="center"/>
    </xf>
    <xf borderId="27" fillId="6" fontId="1" numFmtId="2" xfId="0" applyAlignment="1" applyBorder="1" applyFont="1" applyNumberFormat="1">
      <alignment horizontal="center" vertical="center"/>
    </xf>
    <xf borderId="27" fillId="4" fontId="1" numFmtId="2" xfId="0" applyAlignment="1" applyBorder="1" applyFont="1" applyNumberFormat="1">
      <alignment horizontal="center" vertical="center"/>
    </xf>
    <xf borderId="44" fillId="4" fontId="1" numFmtId="2" xfId="0" applyAlignment="1" applyBorder="1" applyFont="1" applyNumberFormat="1">
      <alignment horizontal="center" vertical="center"/>
    </xf>
    <xf borderId="39" fillId="9" fontId="1" numFmtId="0" xfId="0" applyAlignment="1" applyBorder="1" applyFill="1" applyFont="1">
      <alignment horizontal="center"/>
    </xf>
    <xf borderId="39" fillId="9" fontId="1" numFmtId="0" xfId="0" applyAlignment="1" applyBorder="1" applyFont="1">
      <alignment horizontal="center" vertical="center"/>
    </xf>
    <xf borderId="0" fillId="0" fontId="1" numFmtId="0" xfId="0" applyFont="1"/>
    <xf borderId="52" fillId="10" fontId="35" numFmtId="0" xfId="0" applyAlignment="1" applyBorder="1" applyFill="1" applyFont="1">
      <alignment horizontal="center" shrinkToFit="0" vertical="center" wrapText="1"/>
    </xf>
    <xf borderId="5" fillId="6" fontId="30" numFmtId="0" xfId="0" applyAlignment="1" applyBorder="1" applyFont="1">
      <alignment horizontal="center" readingOrder="0"/>
    </xf>
    <xf borderId="0" fillId="0" fontId="1" numFmtId="166" xfId="0" applyFont="1" applyNumberFormat="1"/>
    <xf borderId="0" fillId="0" fontId="1" numFmtId="2" xfId="0" applyFont="1" applyNumberFormat="1"/>
    <xf borderId="53" fillId="0" fontId="9" numFmtId="0" xfId="0" applyBorder="1" applyFont="1"/>
    <xf borderId="54" fillId="6" fontId="1" numFmtId="0" xfId="0" applyAlignment="1" applyBorder="1" applyFont="1">
      <alignment horizontal="center" readingOrder="0" vertical="center"/>
    </xf>
    <xf borderId="0" fillId="0" fontId="30" numFmtId="0" xfId="0" applyFont="1"/>
    <xf borderId="0" fillId="0" fontId="32" numFmtId="0" xfId="0" applyFont="1"/>
    <xf borderId="54" fillId="6" fontId="1" numFmtId="0" xfId="0" applyAlignment="1" applyBorder="1" applyFont="1">
      <alignment horizontal="center" vertical="center"/>
    </xf>
    <xf borderId="42" fillId="4" fontId="1" numFmtId="0" xfId="0" applyAlignment="1" applyBorder="1" applyFont="1">
      <alignment horizontal="center" vertical="center"/>
    </xf>
    <xf borderId="55" fillId="0" fontId="9" numFmtId="0" xfId="0" applyBorder="1" applyFont="1"/>
    <xf borderId="5" fillId="5" fontId="1" numFmtId="0" xfId="0" applyAlignment="1" applyBorder="1" applyFont="1">
      <alignment horizontal="right" readingOrder="0" vertical="center"/>
    </xf>
    <xf borderId="27" fillId="5" fontId="1" numFmtId="2" xfId="0" applyAlignment="1" applyBorder="1" applyFont="1" applyNumberFormat="1">
      <alignment horizontal="center"/>
    </xf>
    <xf borderId="54" fillId="6" fontId="1" numFmtId="2" xfId="0" applyAlignment="1" applyBorder="1" applyFont="1" applyNumberFormat="1">
      <alignment horizontal="center" readingOrder="0" vertical="center"/>
    </xf>
    <xf borderId="0" fillId="0" fontId="1" numFmtId="2" xfId="0" applyFont="1" applyNumberFormat="1"/>
    <xf borderId="26" fillId="5" fontId="36" numFmtId="0" xfId="0" applyAlignment="1" applyBorder="1" applyFont="1">
      <alignment shrinkToFit="0" vertical="top" wrapText="1"/>
    </xf>
    <xf borderId="0" fillId="0" fontId="36" numFmtId="0" xfId="0" applyAlignment="1" applyFont="1">
      <alignment shrinkToFit="0" vertical="top" wrapText="1"/>
    </xf>
    <xf borderId="5" fillId="4" fontId="1" numFmtId="0" xfId="0" applyAlignment="1" applyBorder="1" applyFont="1">
      <alignment horizontal="center"/>
    </xf>
    <xf borderId="56" fillId="4" fontId="1" numFmtId="0" xfId="0" applyBorder="1" applyFont="1"/>
    <xf borderId="47" fillId="4" fontId="1" numFmtId="0" xfId="0" applyBorder="1" applyFont="1"/>
    <xf borderId="52" fillId="5" fontId="36" numFmtId="0" xfId="0" applyAlignment="1" applyBorder="1" applyFont="1">
      <alignment horizontal="left" shrinkToFit="0" vertical="top" wrapText="1"/>
    </xf>
    <xf borderId="57" fillId="4" fontId="1" numFmtId="0" xfId="0" applyBorder="1" applyFont="1"/>
    <xf borderId="5" fillId="4" fontId="1" numFmtId="0" xfId="0" applyAlignment="1" applyBorder="1" applyFont="1">
      <alignment horizontal="right" vertical="center"/>
    </xf>
    <xf borderId="58" fillId="0" fontId="1" numFmtId="0" xfId="0" applyAlignment="1" applyBorder="1" applyFont="1">
      <alignment horizontal="center" vertical="center"/>
    </xf>
    <xf borderId="27" fillId="4" fontId="1" numFmtId="2" xfId="0" applyAlignment="1" applyBorder="1" applyFont="1" applyNumberFormat="1">
      <alignment horizontal="center"/>
    </xf>
    <xf borderId="47" fillId="4" fontId="1" numFmtId="0" xfId="0" applyAlignment="1" applyBorder="1" applyFont="1">
      <alignment horizontal="center"/>
    </xf>
    <xf borderId="0" fillId="0" fontId="36" numFmtId="0" xfId="0" applyAlignment="1" applyFont="1">
      <alignment vertical="top"/>
    </xf>
    <xf borderId="0" fillId="0" fontId="1" numFmtId="0" xfId="0" applyAlignment="1" applyFont="1">
      <alignment horizontal="right" vertical="center"/>
    </xf>
    <xf borderId="27" fillId="4" fontId="37" numFmtId="0" xfId="0" applyAlignment="1" applyBorder="1" applyFont="1">
      <alignment horizontal="center"/>
    </xf>
    <xf borderId="0" fillId="0" fontId="36" numFmtId="0" xfId="0" applyAlignment="1" applyFont="1">
      <alignment horizontal="left" vertical="top"/>
    </xf>
    <xf borderId="27" fillId="4" fontId="1" numFmtId="166" xfId="0" applyAlignment="1" applyBorder="1" applyFont="1" applyNumberFormat="1">
      <alignment horizontal="center"/>
    </xf>
    <xf borderId="51" fillId="5" fontId="1" numFmtId="0" xfId="0" applyBorder="1" applyFont="1"/>
    <xf borderId="35" fillId="5" fontId="38" numFmtId="0" xfId="0" applyAlignment="1" applyBorder="1" applyFont="1">
      <alignment horizontal="center" shrinkToFit="0" vertical="top" wrapText="1"/>
    </xf>
    <xf borderId="37" fillId="5" fontId="36" numFmtId="0" xfId="0" applyAlignment="1" applyBorder="1" applyFont="1">
      <alignment shrinkToFit="0" vertical="top" wrapText="1"/>
    </xf>
    <xf borderId="38" fillId="4" fontId="1" numFmtId="0" xfId="0" applyAlignment="1" applyBorder="1" applyFont="1">
      <alignment horizontal="right" vertical="center"/>
    </xf>
    <xf borderId="59" fillId="4" fontId="1" numFmtId="166" xfId="0" applyAlignment="1" applyBorder="1" applyFont="1" applyNumberFormat="1">
      <alignment horizontal="center"/>
    </xf>
    <xf borderId="59" fillId="6" fontId="1" numFmtId="0" xfId="0" applyAlignment="1" applyBorder="1" applyFont="1">
      <alignment horizontal="center"/>
    </xf>
    <xf borderId="60" fillId="4" fontId="1" numFmtId="0" xfId="0" applyAlignment="1" applyBorder="1" applyFont="1">
      <alignment horizontal="center"/>
    </xf>
    <xf borderId="61" fillId="5" fontId="1" numFmtId="0" xfId="0" applyBorder="1" applyFont="1"/>
    <xf borderId="62" fillId="0" fontId="9" numFmtId="0" xfId="0" applyBorder="1" applyFont="1"/>
    <xf borderId="63" fillId="5" fontId="1" numFmtId="0" xfId="0" applyBorder="1" applyFont="1"/>
    <xf borderId="24" fillId="4" fontId="1" numFmtId="0" xfId="0" applyAlignment="1" applyBorder="1" applyFont="1">
      <alignment horizontal="center"/>
    </xf>
    <xf borderId="5" fillId="5" fontId="38" numFmtId="0" xfId="0" applyAlignment="1" applyBorder="1" applyFont="1">
      <alignment horizontal="center" shrinkToFit="0" vertical="top" wrapText="1"/>
    </xf>
    <xf borderId="41" fillId="4" fontId="1" numFmtId="0" xfId="0" applyBorder="1" applyFont="1"/>
    <xf borderId="5" fillId="4" fontId="23" numFmtId="0" xfId="0" applyAlignment="1" applyBorder="1" applyFont="1">
      <alignment horizontal="center"/>
    </xf>
    <xf borderId="43" fillId="4" fontId="1" numFmtId="0" xfId="0" applyBorder="1" applyFont="1"/>
    <xf borderId="38" fillId="4" fontId="1" numFmtId="0" xfId="0" applyAlignment="1" applyBorder="1" applyFont="1">
      <alignment horizontal="center"/>
    </xf>
    <xf borderId="63" fillId="4" fontId="1" numFmtId="0" xfId="0" applyBorder="1" applyFont="1"/>
    <xf borderId="24" fillId="9" fontId="1" numFmtId="0" xfId="0" applyBorder="1" applyFont="1"/>
    <xf borderId="24" fillId="9" fontId="1" numFmtId="0" xfId="0" applyAlignment="1" applyBorder="1" applyFont="1">
      <alignment horizontal="right"/>
    </xf>
    <xf borderId="39" fillId="4" fontId="1" numFmtId="0" xfId="0" applyAlignment="1" applyBorder="1" applyFont="1">
      <alignment horizontal="center"/>
    </xf>
    <xf borderId="50" fillId="4" fontId="1" numFmtId="0" xfId="0" applyAlignment="1" applyBorder="1" applyFont="1">
      <alignment horizontal="center"/>
    </xf>
    <xf borderId="13" fillId="0" fontId="1" numFmtId="0" xfId="0" applyBorder="1" applyFont="1"/>
    <xf borderId="5" fillId="4" fontId="39" numFmtId="0" xfId="0" applyAlignment="1" applyBorder="1" applyFont="1">
      <alignment horizontal="left"/>
    </xf>
    <xf borderId="5" fillId="4" fontId="1" numFmtId="0" xfId="0" applyAlignment="1" applyBorder="1" applyFont="1">
      <alignment horizontal="right"/>
    </xf>
    <xf borderId="5" fillId="4" fontId="1" numFmtId="0" xfId="0" applyAlignment="1" applyBorder="1" applyFont="1">
      <alignment horizontal="center" vertical="center"/>
    </xf>
    <xf borderId="27" fillId="4" fontId="1" numFmtId="9" xfId="0" applyAlignment="1" applyBorder="1" applyFont="1" applyNumberFormat="1">
      <alignment horizontal="center" vertical="center"/>
    </xf>
    <xf borderId="27" fillId="5" fontId="1" numFmtId="2" xfId="0" applyAlignment="1" applyBorder="1" applyFont="1" applyNumberFormat="1">
      <alignment horizontal="center" vertical="center"/>
    </xf>
    <xf borderId="52" fillId="5" fontId="38" numFmtId="0" xfId="0" applyAlignment="1" applyBorder="1" applyFont="1">
      <alignment horizontal="center" shrinkToFit="0" vertical="top" wrapText="1"/>
    </xf>
    <xf borderId="64" fillId="0" fontId="1" numFmtId="0" xfId="0" applyAlignment="1" applyBorder="1" applyFont="1">
      <alignment horizontal="center"/>
    </xf>
    <xf borderId="5" fillId="5" fontId="38" numFmtId="0" xfId="0" applyAlignment="1" applyBorder="1" applyFont="1">
      <alignment shrinkToFit="0" vertical="top" wrapText="1"/>
    </xf>
    <xf borderId="27" fillId="4" fontId="1" numFmtId="164" xfId="0" applyAlignment="1" applyBorder="1" applyFont="1" applyNumberFormat="1">
      <alignment horizontal="center" vertical="center"/>
    </xf>
    <xf borderId="27" fillId="5" fontId="1" numFmtId="1" xfId="0" applyAlignment="1" applyBorder="1" applyFont="1" applyNumberFormat="1">
      <alignment horizontal="center" vertical="center"/>
    </xf>
    <xf borderId="50" fillId="5" fontId="1" numFmtId="0" xfId="0" applyAlignment="1" applyBorder="1" applyFont="1">
      <alignment horizontal="center" vertical="center"/>
    </xf>
    <xf borderId="24" fillId="5" fontId="1" numFmtId="0" xfId="0" applyAlignment="1" applyBorder="1" applyFont="1">
      <alignment horizontal="center" vertical="center"/>
    </xf>
    <xf borderId="47" fillId="5" fontId="1" numFmtId="0" xfId="0" applyAlignment="1" applyBorder="1" applyFont="1">
      <alignment horizontal="center" vertical="center"/>
    </xf>
    <xf borderId="42" fillId="5" fontId="1" numFmtId="0" xfId="0" applyAlignment="1" applyBorder="1" applyFont="1">
      <alignment horizontal="right" vertical="center"/>
    </xf>
    <xf borderId="54" fillId="5" fontId="1" numFmtId="2" xfId="0" applyAlignment="1" applyBorder="1" applyFont="1" applyNumberFormat="1">
      <alignment horizontal="center" vertical="center"/>
    </xf>
    <xf borderId="13" fillId="0" fontId="40" numFmtId="0" xfId="0" applyBorder="1" applyFont="1"/>
    <xf borderId="5" fillId="5" fontId="38" numFmtId="0" xfId="0" applyBorder="1" applyFont="1"/>
    <xf borderId="47" fillId="5" fontId="1" numFmtId="0" xfId="0" applyAlignment="1" applyBorder="1" applyFont="1">
      <alignment horizontal="center"/>
    </xf>
    <xf borderId="5" fillId="5" fontId="30" numFmtId="0" xfId="0" applyAlignment="1" applyBorder="1" applyFont="1">
      <alignment horizontal="right"/>
    </xf>
    <xf borderId="5" fillId="5" fontId="30" numFmtId="0" xfId="0" applyAlignment="1" applyBorder="1" applyFont="1">
      <alignment horizontal="center"/>
    </xf>
    <xf borderId="65" fillId="5" fontId="1" numFmtId="2" xfId="0" applyAlignment="1" applyBorder="1" applyFont="1" applyNumberFormat="1">
      <alignment horizontal="center" vertical="center"/>
    </xf>
    <xf borderId="39" fillId="5" fontId="1" numFmtId="2" xfId="0" applyAlignment="1" applyBorder="1" applyFont="1" applyNumberFormat="1">
      <alignment horizontal="center" vertical="center"/>
    </xf>
    <xf borderId="66" fillId="5" fontId="1" numFmtId="2" xfId="0" applyAlignment="1" applyBorder="1" applyFont="1" applyNumberFormat="1">
      <alignment horizontal="center" vertical="center"/>
    </xf>
    <xf borderId="67" fillId="5" fontId="1" numFmtId="2" xfId="0" applyAlignment="1" applyBorder="1" applyFont="1" applyNumberFormat="1">
      <alignment horizontal="center" vertical="center"/>
    </xf>
    <xf borderId="68" fillId="5" fontId="1" numFmtId="2" xfId="0" applyAlignment="1" applyBorder="1" applyFont="1" applyNumberFormat="1">
      <alignment horizontal="center" vertical="center"/>
    </xf>
    <xf borderId="69" fillId="5" fontId="1" numFmtId="2" xfId="0" applyAlignment="1" applyBorder="1" applyFont="1" applyNumberFormat="1">
      <alignment horizontal="center" vertical="center"/>
    </xf>
    <xf borderId="59" fillId="5" fontId="1" numFmtId="2" xfId="0" applyAlignment="1" applyBorder="1" applyFont="1" applyNumberFormat="1">
      <alignment horizontal="center" vertical="center"/>
    </xf>
    <xf borderId="70" fillId="5" fontId="1" numFmtId="2" xfId="0" applyAlignment="1" applyBorder="1" applyFont="1" applyNumberFormat="1">
      <alignment horizontal="center" vertical="center"/>
    </xf>
    <xf borderId="35" fillId="5" fontId="38" numFmtId="0" xfId="0" applyAlignment="1" applyBorder="1" applyFont="1">
      <alignment horizontal="left" shrinkToFit="0" vertical="center" wrapText="1"/>
    </xf>
    <xf borderId="71" fillId="0" fontId="9" numFmtId="0" xfId="0" applyBorder="1" applyFont="1"/>
    <xf borderId="5" fillId="5" fontId="38" numFmtId="0" xfId="0" applyAlignment="1" applyBorder="1" applyFont="1">
      <alignment horizontal="left" shrinkToFit="0" vertical="center" wrapText="1"/>
    </xf>
    <xf borderId="72" fillId="0" fontId="9" numFmtId="0" xfId="0" applyBorder="1" applyFont="1"/>
    <xf borderId="73" fillId="0" fontId="9" numFmtId="0" xfId="0" applyBorder="1" applyFont="1"/>
    <xf borderId="74" fillId="0" fontId="9" numFmtId="0" xfId="0" applyBorder="1" applyFont="1"/>
    <xf borderId="38" fillId="4" fontId="1" numFmtId="0" xfId="0" applyBorder="1" applyFont="1"/>
    <xf borderId="24" fillId="5" fontId="41" numFmtId="0" xfId="0" applyAlignment="1" applyBorder="1" applyFont="1">
      <alignment horizontal="right" vertical="center"/>
    </xf>
    <xf borderId="39" fillId="5" fontId="1" numFmtId="0" xfId="0" applyAlignment="1" applyBorder="1" applyFont="1">
      <alignment horizontal="center" vertical="center"/>
    </xf>
    <xf borderId="5" fillId="5" fontId="41" numFmtId="0" xfId="0" applyAlignment="1" applyBorder="1" applyFont="1">
      <alignment horizontal="right" vertical="center"/>
    </xf>
    <xf borderId="75" fillId="5" fontId="1" numFmtId="0" xfId="0" applyAlignment="1" applyBorder="1" applyFont="1">
      <alignment horizontal="center" vertical="center"/>
    </xf>
    <xf borderId="27" fillId="5" fontId="1" numFmtId="0" xfId="0" applyAlignment="1" applyBorder="1" applyFont="1">
      <alignment horizontal="center" vertical="center"/>
    </xf>
    <xf borderId="5" fillId="5" fontId="30" numFmtId="0" xfId="0" applyBorder="1" applyFont="1"/>
    <xf borderId="43" fillId="5" fontId="30" numFmtId="0" xfId="0" applyAlignment="1" applyBorder="1" applyFont="1">
      <alignment horizontal="left"/>
    </xf>
    <xf borderId="76" fillId="4" fontId="30" numFmtId="0" xfId="0" applyAlignment="1" applyBorder="1" applyFont="1">
      <alignment horizontal="center"/>
    </xf>
    <xf borderId="77" fillId="0" fontId="9" numFmtId="0" xfId="0" applyBorder="1" applyFont="1"/>
    <xf borderId="5" fillId="4" fontId="30" numFmtId="0" xfId="0" applyBorder="1" applyFont="1"/>
    <xf borderId="27" fillId="11" fontId="42" numFmtId="0" xfId="0" applyAlignment="1" applyBorder="1" applyFill="1" applyFont="1">
      <alignment horizontal="center"/>
    </xf>
    <xf borderId="27" fillId="12" fontId="42" numFmtId="0" xfId="0" applyAlignment="1" applyBorder="1" applyFill="1" applyFont="1">
      <alignment horizontal="center"/>
    </xf>
    <xf borderId="75" fillId="5" fontId="1" numFmtId="165" xfId="0" applyAlignment="1" applyBorder="1" applyFont="1" applyNumberFormat="1">
      <alignment horizontal="center"/>
    </xf>
    <xf borderId="75" fillId="5" fontId="1" numFmtId="0" xfId="0" applyAlignment="1" applyBorder="1" applyFont="1">
      <alignment horizontal="center"/>
    </xf>
    <xf borderId="44" fillId="5" fontId="1" numFmtId="0" xfId="0" applyAlignment="1" applyBorder="1" applyFont="1">
      <alignment horizontal="center"/>
    </xf>
    <xf borderId="27" fillId="5" fontId="1" numFmtId="1" xfId="0" applyAlignment="1" applyBorder="1" applyFont="1" applyNumberFormat="1">
      <alignment horizontal="center"/>
    </xf>
    <xf borderId="42" fillId="5" fontId="1" numFmtId="0" xfId="0" applyAlignment="1" applyBorder="1" applyFont="1">
      <alignment horizontal="center"/>
    </xf>
    <xf borderId="44" fillId="5" fontId="1" numFmtId="0" xfId="0" applyAlignment="1" applyBorder="1" applyFont="1">
      <alignment horizontal="center" vertical="center"/>
    </xf>
    <xf borderId="0" fillId="0" fontId="1" numFmtId="0" xfId="0" applyAlignment="1" applyFont="1">
      <alignment horizontal="right"/>
    </xf>
    <xf borderId="27" fillId="5" fontId="1" numFmtId="165" xfId="0" applyAlignment="1" applyBorder="1" applyFont="1" applyNumberFormat="1">
      <alignment horizontal="center"/>
    </xf>
    <xf borderId="44" fillId="5" fontId="1" numFmtId="1" xfId="0" applyAlignment="1" applyBorder="1" applyFont="1" applyNumberFormat="1">
      <alignment horizontal="center" vertical="center"/>
    </xf>
    <xf borderId="44" fillId="5" fontId="1" numFmtId="2" xfId="0" applyAlignment="1" applyBorder="1" applyFont="1" applyNumberFormat="1">
      <alignment horizontal="center" vertical="center"/>
    </xf>
    <xf borderId="44" fillId="5" fontId="1" numFmtId="164" xfId="0" applyAlignment="1" applyBorder="1" applyFont="1" applyNumberFormat="1">
      <alignment horizontal="center"/>
    </xf>
    <xf borderId="5" fillId="5" fontId="1" numFmtId="164" xfId="0" applyAlignment="1" applyBorder="1" applyFont="1" applyNumberFormat="1">
      <alignment horizontal="right"/>
    </xf>
    <xf borderId="27" fillId="5" fontId="1" numFmtId="164" xfId="0" applyAlignment="1" applyBorder="1" applyFont="1" applyNumberFormat="1">
      <alignment horizontal="center"/>
    </xf>
    <xf borderId="5" fillId="5" fontId="1" numFmtId="1" xfId="0" applyAlignment="1" applyBorder="1" applyFont="1" applyNumberFormat="1">
      <alignment horizontal="center" vertical="center"/>
    </xf>
    <xf borderId="5" fillId="5" fontId="1" numFmtId="164" xfId="0" applyAlignment="1" applyBorder="1" applyFont="1" applyNumberFormat="1">
      <alignment horizontal="center"/>
    </xf>
    <xf borderId="26" fillId="5" fontId="1" numFmtId="0" xfId="0" applyAlignment="1" applyBorder="1" applyFont="1">
      <alignment horizontal="right"/>
    </xf>
    <xf borderId="5" fillId="5" fontId="1" numFmtId="0" xfId="0" applyAlignment="1" applyBorder="1" applyFont="1">
      <alignment horizontal="left"/>
    </xf>
    <xf borderId="5" fillId="5" fontId="1" numFmtId="14" xfId="0" applyAlignment="1" applyBorder="1" applyFont="1" applyNumberFormat="1">
      <alignment horizontal="center"/>
    </xf>
    <xf borderId="38" fillId="5" fontId="1" numFmtId="0" xfId="0" applyAlignment="1" applyBorder="1" applyFont="1">
      <alignment horizontal="left"/>
    </xf>
    <xf borderId="60" fillId="5" fontId="1" numFmtId="0" xfId="0" applyAlignment="1" applyBorder="1" applyFont="1">
      <alignment horizontal="center"/>
    </xf>
    <xf borderId="38" fillId="5" fontId="1" numFmtId="0" xfId="0" applyAlignment="1" applyBorder="1" applyFont="1">
      <alignment horizontal="center"/>
    </xf>
    <xf borderId="5" fillId="5" fontId="27" numFmtId="0" xfId="0" applyBorder="1" applyFont="1"/>
    <xf borderId="5" fillId="5" fontId="21" numFmtId="0" xfId="0" applyBorder="1" applyFont="1"/>
    <xf borderId="0" fillId="0" fontId="1" numFmtId="0" xfId="0" applyAlignment="1" applyFont="1">
      <alignment horizontal="center"/>
    </xf>
    <xf borderId="0" fillId="0" fontId="1" numFmtId="11" xfId="0" applyAlignment="1" applyFont="1" applyNumberFormat="1">
      <alignment horizontal="center"/>
    </xf>
    <xf borderId="0" fillId="0" fontId="1" numFmtId="0" xfId="0" applyAlignment="1" applyFont="1">
      <alignment horizontal="left"/>
    </xf>
    <xf borderId="0" fillId="0" fontId="1" numFmtId="1" xfId="0" applyFont="1" applyNumberFormat="1"/>
    <xf borderId="0" fillId="0" fontId="1" numFmtId="167" xfId="0" applyFont="1" applyNumberFormat="1"/>
    <xf borderId="0" fillId="0" fontId="32" numFmtId="11" xfId="0" applyFont="1" applyNumberFormat="1"/>
    <xf borderId="0" fillId="0" fontId="23" numFmtId="0" xfId="0" applyFont="1"/>
    <xf borderId="27" fillId="0" fontId="1" numFmtId="0" xfId="0" applyAlignment="1" applyBorder="1" applyFont="1">
      <alignment horizontal="center"/>
    </xf>
    <xf borderId="0" fillId="0" fontId="1" numFmtId="0" xfId="0" applyAlignment="1" applyFont="1">
      <alignment horizontal="center" vertical="center"/>
    </xf>
    <xf borderId="0" fillId="0" fontId="1" numFmtId="2" xfId="0" applyAlignment="1" applyFont="1" applyNumberFormat="1">
      <alignment horizontal="center" vertical="center"/>
    </xf>
    <xf borderId="0" fillId="0" fontId="1" numFmtId="2" xfId="0" applyAlignment="1" applyFont="1" applyNumberFormat="1">
      <alignment horizontal="center"/>
    </xf>
    <xf borderId="0" fillId="0" fontId="43" numFmtId="0" xfId="0" applyAlignment="1" applyFont="1">
      <alignment horizontal="center"/>
    </xf>
    <xf borderId="0" fillId="0" fontId="44" numFmtId="0" xfId="0" applyAlignment="1" applyFont="1">
      <alignment horizontal="center"/>
    </xf>
    <xf borderId="0" fillId="0" fontId="30" numFmtId="0" xfId="0" applyAlignment="1" applyFont="1">
      <alignment horizontal="center"/>
    </xf>
    <xf borderId="0" fillId="0" fontId="1" numFmtId="168" xfId="0" applyAlignment="1" applyFont="1" applyNumberFormat="1">
      <alignment horizontal="center"/>
    </xf>
    <xf borderId="0" fillId="0" fontId="1" numFmtId="164" xfId="0" applyAlignment="1" applyFont="1" applyNumberFormat="1">
      <alignment horizontal="center"/>
    </xf>
    <xf borderId="0" fillId="0" fontId="1" numFmtId="10" xfId="0" applyFont="1" applyNumberFormat="1"/>
    <xf borderId="78" fillId="0" fontId="1" numFmtId="0" xfId="0" applyBorder="1" applyFont="1"/>
    <xf borderId="79" fillId="0" fontId="1" numFmtId="0" xfId="0" applyBorder="1" applyFont="1"/>
    <xf borderId="80" fillId="0" fontId="1" numFmtId="0" xfId="0" applyAlignment="1" applyBorder="1" applyFont="1">
      <alignment horizontal="right"/>
    </xf>
    <xf borderId="45" fillId="0" fontId="1" numFmtId="0" xfId="0" applyBorder="1" applyFont="1"/>
    <xf borderId="73" fillId="0" fontId="1" numFmtId="0" xfId="0" applyAlignment="1" applyBorder="1" applyFont="1">
      <alignment horizontal="right"/>
    </xf>
    <xf borderId="81" fillId="0" fontId="1" numFmtId="0" xfId="0" applyBorder="1" applyFont="1"/>
    <xf borderId="82" fillId="0" fontId="1" numFmtId="0" xfId="0" applyBorder="1" applyFont="1"/>
    <xf borderId="83" fillId="0" fontId="1" numFmtId="0" xfId="0" applyAlignment="1" applyBorder="1" applyFont="1">
      <alignment horizontal="right"/>
    </xf>
    <xf borderId="45" fillId="0" fontId="1" numFmtId="0" xfId="0" applyAlignment="1" applyBorder="1" applyFont="1">
      <alignment horizontal="center"/>
    </xf>
    <xf borderId="27" fillId="0" fontId="1" numFmtId="2" xfId="0" applyAlignment="1" applyBorder="1" applyFont="1" applyNumberFormat="1">
      <alignment horizontal="center"/>
    </xf>
    <xf borderId="84" fillId="0" fontId="1" numFmtId="0" xfId="0" applyAlignment="1" applyBorder="1" applyFont="1">
      <alignment horizontal="center"/>
    </xf>
    <xf borderId="85" fillId="0" fontId="1" numFmtId="0" xfId="0" applyAlignment="1" applyBorder="1" applyFont="1">
      <alignment horizontal="center"/>
    </xf>
    <xf borderId="86" fillId="0" fontId="1" numFmtId="0" xfId="0" applyAlignment="1" applyBorder="1" applyFont="1">
      <alignment horizontal="center"/>
    </xf>
    <xf borderId="0" fillId="0" fontId="45" numFmtId="0" xfId="0" applyAlignment="1" applyFont="1">
      <alignment horizontal="right"/>
    </xf>
    <xf borderId="0" fillId="0" fontId="46" numFmtId="0" xfId="0" applyFont="1"/>
    <xf borderId="0" fillId="0" fontId="32" numFmtId="164" xfId="0" applyFont="1" applyNumberFormat="1"/>
    <xf borderId="0" fillId="0" fontId="1" numFmtId="164" xfId="0" applyFont="1" applyNumberFormat="1"/>
    <xf borderId="0" fillId="0" fontId="32" numFmtId="2" xfId="0" applyFont="1" applyNumberFormat="1"/>
    <xf borderId="0" fillId="0" fontId="47" numFmtId="0" xfId="0" applyFont="1"/>
    <xf borderId="0" fillId="0" fontId="1" numFmtId="165" xfId="0" applyFont="1" applyNumberFormat="1"/>
    <xf borderId="0" fillId="0" fontId="1" numFmtId="168" xfId="0" applyFont="1" applyNumberFormat="1"/>
    <xf borderId="0" fillId="0" fontId="48" numFmtId="0" xfId="0" applyFont="1"/>
    <xf borderId="0" fillId="0" fontId="1" numFmtId="165" xfId="0" applyAlignment="1" applyFont="1" applyNumberFormat="1">
      <alignment horizontal="center"/>
    </xf>
    <xf borderId="13" fillId="0" fontId="1" numFmtId="2" xfId="0" applyAlignment="1" applyBorder="1" applyFont="1" applyNumberFormat="1">
      <alignment horizontal="center"/>
    </xf>
    <xf borderId="85" fillId="0" fontId="49" numFmtId="0" xfId="0" applyAlignment="1" applyBorder="1" applyFont="1">
      <alignment horizontal="center"/>
    </xf>
    <xf borderId="58" fillId="0" fontId="9" numFmtId="0" xfId="0" applyBorder="1" applyFont="1"/>
    <xf borderId="27" fillId="0" fontId="1" numFmtId="0" xfId="0" applyBorder="1" applyFont="1"/>
    <xf borderId="0" fillId="0" fontId="50" numFmtId="0" xfId="0" applyFont="1"/>
    <xf borderId="87" fillId="0" fontId="9" numFmtId="0" xfId="0" applyBorder="1" applyFont="1"/>
    <xf borderId="27" fillId="0" fontId="1" numFmtId="2" xfId="0" applyBorder="1" applyFont="1" applyNumberFormat="1"/>
    <xf borderId="0" fillId="0" fontId="1" numFmtId="0" xfId="0" applyAlignment="1" applyFont="1">
      <alignment horizontal="left" vertical="center"/>
    </xf>
    <xf borderId="0" fillId="0" fontId="51" numFmtId="0" xfId="0" applyAlignment="1" applyFont="1">
      <alignment horizontal="left"/>
    </xf>
    <xf borderId="0" fillId="0" fontId="52" numFmtId="0" xfId="0" applyAlignment="1" applyFont="1">
      <alignment horizontal="center"/>
    </xf>
    <xf borderId="0" fillId="0" fontId="32" numFmtId="168" xfId="0" applyFont="1" applyNumberFormat="1"/>
    <xf borderId="0" fillId="0" fontId="1" numFmtId="2" xfId="0" applyAlignment="1" applyFont="1" applyNumberFormat="1">
      <alignment horizontal="left"/>
    </xf>
    <xf borderId="0" fillId="0" fontId="53" numFmtId="2" xfId="0" applyAlignment="1" applyFont="1" applyNumberFormat="1">
      <alignment horizontal="center"/>
    </xf>
    <xf borderId="0" fillId="0" fontId="30" numFmtId="0" xfId="0" applyAlignment="1" applyFont="1">
      <alignment horizontal="left"/>
    </xf>
    <xf borderId="65" fillId="0" fontId="30" numFmtId="0" xfId="0" applyAlignment="1" applyBorder="1" applyFont="1">
      <alignment horizontal="center"/>
    </xf>
    <xf borderId="66" fillId="0" fontId="30" numFmtId="0" xfId="0" applyAlignment="1" applyBorder="1" applyFont="1">
      <alignment horizontal="center"/>
    </xf>
    <xf borderId="67" fillId="0" fontId="30" numFmtId="0" xfId="0" applyAlignment="1" applyBorder="1" applyFont="1">
      <alignment horizontal="center"/>
    </xf>
    <xf borderId="68" fillId="0" fontId="30" numFmtId="0" xfId="0" applyAlignment="1" applyBorder="1" applyFont="1">
      <alignment horizontal="center"/>
    </xf>
    <xf borderId="67" fillId="0" fontId="1" numFmtId="0" xfId="0" applyAlignment="1" applyBorder="1" applyFont="1">
      <alignment horizontal="center"/>
    </xf>
    <xf borderId="68" fillId="0" fontId="1" numFmtId="0" xfId="0" applyAlignment="1" applyBorder="1" applyFont="1">
      <alignment horizontal="center"/>
    </xf>
    <xf borderId="69" fillId="0" fontId="1" numFmtId="0" xfId="0" applyAlignment="1" applyBorder="1" applyFont="1">
      <alignment horizontal="center"/>
    </xf>
    <xf borderId="70" fillId="0" fontId="1" numFmtId="0" xfId="0" applyAlignment="1" applyBorder="1" applyFont="1">
      <alignment horizontal="center"/>
    </xf>
    <xf borderId="5" fillId="13" fontId="54" numFmtId="0" xfId="0" applyBorder="1" applyFill="1" applyFont="1"/>
  </cellXfs>
  <cellStyles count="1">
    <cellStyle xfId="0" name="Normal" builtinId="0"/>
  </cellStyles>
  <dxfs count="14">
    <dxf>
      <font/>
      <fill>
        <patternFill patternType="solid">
          <fgColor rgb="FFFF0000"/>
          <bgColor rgb="FFFF0000"/>
        </patternFill>
      </fill>
      <border/>
    </dxf>
    <dxf>
      <font>
        <color theme="0"/>
      </font>
      <fill>
        <patternFill patternType="solid">
          <fgColor theme="0"/>
          <bgColor theme="0"/>
        </patternFill>
      </fill>
      <border/>
    </dxf>
    <dxf>
      <font>
        <color theme="0"/>
      </font>
      <fill>
        <patternFill patternType="solid">
          <fgColor theme="0"/>
          <bgColor theme="0"/>
        </patternFill>
      </fill>
      <border>
        <top style="thin">
          <color rgb="FF000000"/>
        </top>
        <bottom style="thin">
          <color rgb="FF000000"/>
        </bottom>
      </border>
    </dxf>
    <dxf>
      <font>
        <color rgb="FFFFFFFF"/>
      </font>
      <fill>
        <patternFill patternType="solid">
          <fgColor rgb="FFFFFFFF"/>
          <bgColor rgb="FFFFFFFF"/>
        </patternFill>
      </fill>
      <border>
        <top style="thin">
          <color rgb="FF000000"/>
        </top>
        <bottom style="thin">
          <color rgb="FF000000"/>
        </bottom>
      </border>
    </dxf>
    <dxf>
      <font>
        <color rgb="FFFFFFFF"/>
      </font>
      <fill>
        <patternFill patternType="solid">
          <fgColor rgb="FFFFFFFF"/>
          <bgColor rgb="FFFFFFFF"/>
        </patternFill>
      </fill>
      <border/>
    </dxf>
    <dxf>
      <font/>
      <fill>
        <patternFill patternType="solid">
          <fgColor rgb="FFFFFF00"/>
          <bgColor rgb="FFFFFF00"/>
        </patternFill>
      </fill>
      <border/>
    </dxf>
    <dxf>
      <font>
        <color theme="0"/>
      </font>
      <fill>
        <patternFill patternType="none"/>
      </fill>
      <border/>
    </dxf>
    <dxf>
      <font/>
      <fill>
        <patternFill patternType="solid">
          <fgColor rgb="FF953734"/>
          <bgColor rgb="FF953734"/>
        </patternFill>
      </fill>
      <border/>
    </dxf>
    <dxf>
      <font>
        <strike/>
        <color rgb="FFBFBFBF"/>
      </font>
      <fill>
        <patternFill patternType="none"/>
      </fill>
      <border/>
    </dxf>
    <dxf>
      <font>
        <color theme="0"/>
      </font>
      <fill>
        <patternFill patternType="solid">
          <fgColor theme="0"/>
          <bgColor theme="0"/>
        </patternFill>
      </fill>
      <border>
        <right style="thin">
          <color rgb="FF000000"/>
        </right>
      </border>
    </dxf>
    <dxf>
      <font/>
      <fill>
        <patternFill patternType="none"/>
      </fill>
      <border/>
    </dxf>
    <dxf>
      <font/>
      <fill>
        <patternFill patternType="solid">
          <fgColor theme="4"/>
          <bgColor theme="4"/>
        </patternFill>
      </fill>
      <border/>
    </dxf>
    <dxf>
      <font/>
      <fill>
        <patternFill patternType="solid">
          <fgColor rgb="FFB8CCE4"/>
          <bgColor rgb="FFB8CCE4"/>
        </patternFill>
      </fill>
      <border/>
    </dxf>
    <dxf>
      <font/>
      <fill>
        <patternFill patternType="solid">
          <fgColor rgb="FFDBE5F1"/>
          <bgColor rgb="FFDBE5F1"/>
        </patternFill>
      </fill>
      <border/>
    </dxf>
  </dxfs>
  <tableStyles count="2">
    <tableStyle count="3" pivot="0" name="Design Calculator-style">
      <tableStyleElement dxfId="11" type="headerRow"/>
      <tableStyleElement dxfId="12" type="firstRowStripe"/>
      <tableStyleElement dxfId="13" type="secondRowStripe"/>
    </tableStyle>
    <tableStyle count="3" pivot="0" name="Design Calculator-style 2">
      <tableStyleElement dxfId="11" type="headerRow"/>
      <tableStyleElement dxfId="12" type="firstRowStripe"/>
      <tableStyleElement dxfId="1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267237229923697"/>
          <c:y val="0.10613723813134238"/>
          <c:w val="0.8314406977925989"/>
          <c:h val="0.7691692928763956"/>
        </c:manualLayout>
      </c:layout>
      <c:scatterChart>
        <c:scatterStyle val="lineMarker"/>
        <c:varyColors val="0"/>
        <c:ser>
          <c:idx val="0"/>
          <c:order val="0"/>
          <c:tx>
            <c:v>Typ. Device SOA Limit</c:v>
          </c:tx>
          <c:spPr>
            <a:ln>
              <a:noFill/>
            </a:ln>
          </c:spPr>
          <c:marker>
            <c:symbol val="circle"/>
            <c:size val="7"/>
            <c:spPr>
              <a:solidFill>
                <a:schemeClr val="accent1"/>
              </a:solidFill>
              <a:ln cmpd="sng">
                <a:solidFill>
                  <a:schemeClr val="accent1"/>
                </a:solidFill>
              </a:ln>
            </c:spPr>
          </c:marker>
          <c:xVal>
            <c:numRef>
              <c:f>Equations!$R$197:$R$276</c:f>
            </c:numRef>
          </c:xVal>
          <c:yVal>
            <c:numRef>
              <c:f>Equations!$T$197:$T$276</c:f>
              <c:numCache/>
            </c:numRef>
          </c:yVal>
        </c:ser>
        <c:dLbls>
          <c:showLegendKey val="0"/>
          <c:showVal val="0"/>
          <c:showCatName val="0"/>
          <c:showSerName val="0"/>
          <c:showPercent val="0"/>
          <c:showBubbleSize val="0"/>
        </c:dLbls>
        <c:axId val="1772824101"/>
        <c:axId val="40482921"/>
      </c:scatterChart>
      <c:valAx>
        <c:axId val="1772824101"/>
        <c:scaling>
          <c:orientation val="minMax"/>
          <c:max val="100.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i="0" sz="1100">
                    <a:solidFill>
                      <a:srgbClr val="000000"/>
                    </a:solidFill>
                    <a:latin typeface="Calibri"/>
                  </a:defRPr>
                </a:pPr>
                <a:r>
                  <a:rPr b="0" i="0" sz="1100">
                    <a:solidFill>
                      <a:srgbClr val="000000"/>
                    </a:solidFill>
                    <a:latin typeface="Calibri"/>
                  </a:rPr>
                  <a:t>VDS - Drain-to-Source Voltage - V</a:t>
                </a:r>
              </a:p>
            </c:rich>
          </c:tx>
          <c:layout>
            <c:manualLayout>
              <c:xMode val="edge"/>
              <c:yMode val="edge"/>
              <c:x val="0.37459064370200507"/>
              <c:y val="0.9402946152073602"/>
            </c:manualLayout>
          </c:layout>
          <c:overlay val="0"/>
        </c:title>
        <c:numFmt formatCode="General" sourceLinked="1"/>
        <c:majorTickMark val="none"/>
        <c:minorTickMark val="none"/>
        <c:tickLblPos val="nextTo"/>
        <c:spPr>
          <a:ln/>
        </c:spPr>
        <c:txPr>
          <a:bodyPr rot="0"/>
          <a:lstStyle/>
          <a:p>
            <a:pPr lvl="0">
              <a:defRPr b="0" i="0" sz="900">
                <a:solidFill>
                  <a:srgbClr val="000000"/>
                </a:solidFill>
                <a:latin typeface="Arial"/>
              </a:defRPr>
            </a:pPr>
          </a:p>
        </c:txPr>
        <c:crossAx val="40482921"/>
      </c:valAx>
      <c:valAx>
        <c:axId val="40482921"/>
        <c:scaling>
          <c:orientation val="minMax"/>
          <c:max val="100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sz="1100">
                    <a:solidFill>
                      <a:srgbClr val="000000"/>
                    </a:solidFill>
                    <a:latin typeface="Calibri"/>
                  </a:defRPr>
                </a:pPr>
                <a:r>
                  <a:rPr b="0" i="0" sz="1100">
                    <a:solidFill>
                      <a:srgbClr val="000000"/>
                    </a:solidFill>
                    <a:latin typeface="Calibri"/>
                  </a:rPr>
                  <a:t>IDS - Drain-to-Source Current - A</a:t>
                </a:r>
              </a:p>
            </c:rich>
          </c:tx>
          <c:layout>
            <c:manualLayout>
              <c:xMode val="edge"/>
              <c:yMode val="edge"/>
              <c:x val="0.020103885280763262"/>
              <c:y val="0.214978607126164"/>
            </c:manualLayout>
          </c:layout>
          <c:overlay val="0"/>
        </c:title>
        <c:numFmt formatCode="General" sourceLinked="0"/>
        <c:majorTickMark val="none"/>
        <c:minorTickMark val="none"/>
        <c:tickLblPos val="nextTo"/>
        <c:spPr>
          <a:ln/>
        </c:spPr>
        <c:txPr>
          <a:bodyPr rot="0"/>
          <a:lstStyle/>
          <a:p>
            <a:pPr lvl="0">
              <a:defRPr b="0" i="0" sz="900">
                <a:solidFill>
                  <a:srgbClr val="000000"/>
                </a:solidFill>
                <a:latin typeface="Arial"/>
              </a:defRPr>
            </a:pPr>
          </a:p>
        </c:txPr>
        <c:crossAx val="1772824101"/>
      </c:valAx>
      <c:spPr>
        <a:solidFill>
          <a:srgbClr val="FFFFFF"/>
        </a:solidFill>
      </c:spPr>
    </c:plotArea>
    <c:legend>
      <c:legendPos val="r"/>
      <c:layout>
        <c:manualLayout>
          <c:xMode val="edge"/>
          <c:yMode val="edge"/>
          <c:x val="0.6366624027069266"/>
          <c:y val="0.03424527850750412"/>
        </c:manualLayout>
      </c:layout>
      <c:overlay val="0"/>
      <c:txPr>
        <a:bodyPr/>
        <a:lstStyle/>
        <a:p>
          <a:pPr lvl="0">
            <a:defRPr b="0" i="0" sz="800">
              <a:solidFill>
                <a:srgbClr val="000000"/>
              </a:solidFill>
              <a:latin typeface="Arial"/>
            </a:defRPr>
          </a:pPr>
        </a:p>
      </c:txPr>
    </c:legend>
    <c:plotVisOnly val="0"/>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ILOAD and IFET vs Vout (VIN = VINMAX)                                               </a:t>
            </a:r>
          </a:p>
        </c:rich>
      </c:tx>
      <c:layout>
        <c:manualLayout>
          <c:xMode val="edge"/>
          <c:yMode val="edge"/>
          <c:x val="0.16494063286351637"/>
          <c:y val="0.030591748387251084"/>
        </c:manualLayout>
      </c:layout>
      <c:overlay val="0"/>
    </c:title>
    <c:plotArea>
      <c:layout>
        <c:manualLayout>
          <c:xMode val="edge"/>
          <c:yMode val="edge"/>
          <c:x val="0.15203109554174482"/>
          <c:y val="0.13835811263066838"/>
          <c:w val="0.7686575110361369"/>
          <c:h val="0.7016589020911266"/>
        </c:manualLayout>
      </c:layout>
      <c:scatterChart>
        <c:scatterStyle val="lineMarker"/>
        <c:ser>
          <c:idx val="0"/>
          <c:order val="0"/>
          <c:tx>
            <c:v>ILOAD</c:v>
          </c:tx>
          <c:spPr>
            <a:ln>
              <a:noFill/>
            </a:ln>
          </c:spPr>
          <c:marker>
            <c:symbol val="circle"/>
            <c:size val="7"/>
            <c:spPr>
              <a:solidFill>
                <a:schemeClr val="accent1"/>
              </a:solidFill>
              <a:ln cmpd="sng">
                <a:solidFill>
                  <a:schemeClr val="accent1"/>
                </a:solidFill>
              </a:ln>
            </c:spPr>
          </c:marker>
          <c:xVal>
            <c:numRef>
              <c:f>Start_up!$B$10:$B$111</c:f>
            </c:numRef>
          </c:xVal>
          <c:yVal>
            <c:numRef>
              <c:f>Start_up!$C$10:$C$111</c:f>
              <c:numCache/>
            </c:numRef>
          </c:yVal>
        </c:ser>
        <c:ser>
          <c:idx val="1"/>
          <c:order val="1"/>
          <c:tx>
            <c:v>IFET</c:v>
          </c:tx>
          <c:spPr>
            <a:ln>
              <a:noFill/>
            </a:ln>
          </c:spPr>
          <c:marker>
            <c:symbol val="circle"/>
            <c:size val="7"/>
            <c:spPr>
              <a:solidFill>
                <a:schemeClr val="accent2"/>
              </a:solidFill>
              <a:ln cmpd="sng">
                <a:solidFill>
                  <a:schemeClr val="accent2"/>
                </a:solidFill>
              </a:ln>
            </c:spPr>
          </c:marker>
          <c:xVal>
            <c:numRef>
              <c:f>Start_up!$B$10:$B$111</c:f>
            </c:numRef>
          </c:xVal>
          <c:yVal>
            <c:numRef>
              <c:f>Start_up!$G$10:$G$112</c:f>
              <c:numCache/>
            </c:numRef>
          </c:yVal>
        </c:ser>
        <c:dLbls>
          <c:showLegendKey val="0"/>
          <c:showVal val="0"/>
          <c:showCatName val="0"/>
          <c:showSerName val="0"/>
          <c:showPercent val="0"/>
          <c:showBubbleSize val="0"/>
        </c:dLbls>
        <c:axId val="1442894777"/>
        <c:axId val="1892486100"/>
      </c:scatterChart>
      <c:valAx>
        <c:axId val="1442894777"/>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Output Voltage (V)</a:t>
                </a:r>
              </a:p>
            </c:rich>
          </c:tx>
          <c:layout>
            <c:manualLayout>
              <c:xMode val="edge"/>
              <c:yMode val="edge"/>
              <c:x val="0.4091447968109176"/>
              <c:y val="0.9254500103161437"/>
            </c:manualLayout>
          </c:layout>
          <c:overlay val="0"/>
        </c:title>
        <c:numFmt formatCode="General" sourceLinked="1"/>
        <c:majorTickMark val="out"/>
        <c:minorTickMark val="none"/>
        <c:tickLblPos val="nextTo"/>
        <c:spPr>
          <a:ln/>
        </c:spPr>
        <c:txPr>
          <a:bodyPr/>
          <a:lstStyle/>
          <a:p>
            <a:pPr lvl="0">
              <a:defRPr b="1" i="0">
                <a:solidFill>
                  <a:srgbClr val="000000"/>
                </a:solidFill>
                <a:latin typeface="+mn-lt"/>
              </a:defRPr>
            </a:pPr>
          </a:p>
        </c:txPr>
        <c:crossAx val="1892486100"/>
      </c:valAx>
      <c:valAx>
        <c:axId val="1892486100"/>
        <c:scaling>
          <c:orientation val="minMax"/>
          <c:min val="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Current (A)</a:t>
                </a:r>
              </a:p>
            </c:rich>
          </c:tx>
          <c:layout>
            <c:manualLayout>
              <c:xMode val="edge"/>
              <c:yMode val="edge"/>
              <c:x val="0.025894125229633976"/>
              <c:y val="0.40230013499530876"/>
            </c:manualLayout>
          </c:layout>
          <c:overlay val="0"/>
        </c:title>
        <c:numFmt formatCode="0.00" sourceLinked="0"/>
        <c:majorTickMark val="out"/>
        <c:minorTickMark val="none"/>
        <c:tickLblPos val="nextTo"/>
        <c:spPr>
          <a:ln/>
        </c:spPr>
        <c:txPr>
          <a:bodyPr/>
          <a:lstStyle/>
          <a:p>
            <a:pPr lvl="0">
              <a:defRPr b="1" i="0">
                <a:solidFill>
                  <a:srgbClr val="000000"/>
                </a:solidFill>
                <a:latin typeface="+mn-lt"/>
              </a:defRPr>
            </a:pPr>
          </a:p>
        </c:txPr>
        <c:crossAx val="1442894777"/>
      </c:valAx>
    </c:plotArea>
    <c:legend>
      <c:legendPos val="r"/>
      <c:layout>
        <c:manualLayout>
          <c:xMode val="edge"/>
          <c:yMode val="edge"/>
          <c:x val="0.6966381666648132"/>
          <c:y val="0.3081804569940747"/>
        </c:manualLayout>
      </c:layout>
      <c:overlay val="0"/>
      <c:txPr>
        <a:bodyPr/>
        <a:lstStyle/>
        <a:p>
          <a:pPr lvl="0">
            <a:defRPr b="1" i="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Start - up: FET Power (VIN = VINMAX)</a:t>
            </a:r>
          </a:p>
        </c:rich>
      </c:tx>
      <c:layout>
        <c:manualLayout>
          <c:xMode val="edge"/>
          <c:yMode val="edge"/>
          <c:x val="0.17168280846180337"/>
          <c:y val="0.004701275793816091"/>
        </c:manualLayout>
      </c:layout>
      <c:overlay val="0"/>
    </c:title>
    <c:plotArea>
      <c:layout>
        <c:manualLayout>
          <c:xMode val="edge"/>
          <c:yMode val="edge"/>
          <c:x val="0.13282996456702728"/>
          <c:y val="0.1721780614790322"/>
          <c:w val="0.7738281961855525"/>
          <c:h val="0.6275453872531699"/>
        </c:manualLayout>
      </c:layout>
      <c:scatterChart>
        <c:scatterStyle val="lineMarker"/>
        <c:varyColors val="0"/>
        <c:ser>
          <c:idx val="0"/>
          <c:order val="0"/>
          <c:tx>
            <c:v>FET power dissipation</c:v>
          </c:tx>
          <c:spPr>
            <a:ln>
              <a:noFill/>
            </a:ln>
          </c:spPr>
          <c:marker>
            <c:symbol val="circle"/>
            <c:size val="7"/>
            <c:spPr>
              <a:solidFill>
                <a:schemeClr val="accent1"/>
              </a:solidFill>
              <a:ln cmpd="sng">
                <a:solidFill>
                  <a:schemeClr val="accent1"/>
                </a:solidFill>
              </a:ln>
            </c:spPr>
          </c:marker>
          <c:xVal>
            <c:numRef>
              <c:f>Start_up!$K$8:$K$115</c:f>
            </c:numRef>
          </c:xVal>
          <c:yVal>
            <c:numRef>
              <c:f>Start_up!$O$8:$O$115</c:f>
              <c:numCache/>
            </c:numRef>
          </c:yVal>
        </c:ser>
        <c:dLbls>
          <c:showLegendKey val="0"/>
          <c:showVal val="0"/>
          <c:showCatName val="0"/>
          <c:showSerName val="0"/>
          <c:showPercent val="0"/>
          <c:showBubbleSize val="0"/>
        </c:dLbls>
        <c:axId val="25250310"/>
        <c:axId val="380437236"/>
      </c:scatterChart>
      <c:valAx>
        <c:axId val="25250310"/>
        <c:scaling>
          <c:orientation val="minMax"/>
          <c:min val="-1.0"/>
        </c:scaling>
        <c:delete val="0"/>
        <c:axPos val="b"/>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Time (ms)</a:t>
                </a:r>
              </a:p>
            </c:rich>
          </c:tx>
          <c:layout>
            <c:manualLayout>
              <c:xMode val="edge"/>
              <c:yMode val="edge"/>
              <c:x val="0.44799096768442925"/>
              <c:y val="0.9058384785451736"/>
            </c:manualLayout>
          </c:layout>
          <c:overlay val="0"/>
        </c:title>
        <c:numFmt formatCode="General" sourceLinked="1"/>
        <c:majorTickMark val="out"/>
        <c:minorTickMark val="none"/>
        <c:tickLblPos val="nextTo"/>
        <c:spPr>
          <a:ln/>
        </c:spPr>
        <c:txPr>
          <a:bodyPr/>
          <a:lstStyle/>
          <a:p>
            <a:pPr lvl="0">
              <a:defRPr b="1" i="0">
                <a:solidFill>
                  <a:srgbClr val="000000"/>
                </a:solidFill>
                <a:latin typeface="+mn-lt"/>
              </a:defRPr>
            </a:pPr>
          </a:p>
        </c:txPr>
        <c:crossAx val="380437236"/>
      </c:valAx>
      <c:valAx>
        <c:axId val="380437236"/>
        <c:scaling>
          <c:orientation val="minMax"/>
          <c:min val="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FET Power (W)</a:t>
                </a:r>
              </a:p>
            </c:rich>
          </c:tx>
          <c:layout>
            <c:manualLayout>
              <c:xMode val="edge"/>
              <c:yMode val="edge"/>
              <c:x val="0.012836103229293341"/>
              <c:y val="0.25775146359374557"/>
            </c:manualLayout>
          </c:layout>
          <c:overlay val="0"/>
        </c:title>
        <c:numFmt formatCode="General" sourceLinked="1"/>
        <c:majorTickMark val="out"/>
        <c:minorTickMark val="none"/>
        <c:tickLblPos val="nextTo"/>
        <c:spPr>
          <a:ln/>
        </c:spPr>
        <c:txPr>
          <a:bodyPr/>
          <a:lstStyle/>
          <a:p>
            <a:pPr lvl="0">
              <a:defRPr b="1" i="0">
                <a:solidFill>
                  <a:srgbClr val="000000"/>
                </a:solidFill>
                <a:latin typeface="+mn-lt"/>
              </a:defRPr>
            </a:pPr>
          </a:p>
        </c:txPr>
        <c:crossAx val="25250310"/>
      </c:valAx>
    </c:plotArea>
    <c:legend>
      <c:legendPos val="r"/>
      <c:layout>
        <c:manualLayout>
          <c:xMode val="edge"/>
          <c:yMode val="edge"/>
          <c:x val="0.5889694894089438"/>
          <c:y val="0.19807068791193755"/>
        </c:manualLayout>
      </c:layout>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a:solidFill>
                  <a:srgbClr val="757575"/>
                </a:solidFill>
                <a:latin typeface="+mn-lt"/>
              </a:defRPr>
            </a:pPr>
            <a:r>
              <a:rPr b="1" i="0">
                <a:solidFill>
                  <a:srgbClr val="757575"/>
                </a:solidFill>
                <a:latin typeface="+mn-lt"/>
              </a:rPr>
              <a:t>Load and FET current vs Vout</a:t>
            </a:r>
          </a:p>
        </c:rich>
      </c:tx>
      <c:overlay val="0"/>
    </c:title>
    <c:plotArea>
      <c:layout>
        <c:manualLayout>
          <c:xMode val="edge"/>
          <c:yMode val="edge"/>
          <c:x val="0.20280211116986058"/>
          <c:y val="0.14177960397727438"/>
          <c:w val="0.699671320576761"/>
          <c:h val="0.7119118368882501"/>
        </c:manualLayout>
      </c:layout>
      <c:scatterChart>
        <c:scatterStyle val="lineMarker"/>
        <c:ser>
          <c:idx val="0"/>
          <c:order val="0"/>
          <c:tx>
            <c:v>ILOAD</c:v>
          </c:tx>
          <c:spPr>
            <a:ln>
              <a:noFill/>
            </a:ln>
          </c:spPr>
          <c:marker>
            <c:symbol val="circle"/>
            <c:size val="7"/>
            <c:spPr>
              <a:solidFill>
                <a:schemeClr val="accent1"/>
              </a:solidFill>
              <a:ln cmpd="sng">
                <a:solidFill>
                  <a:schemeClr val="accent1"/>
                </a:solidFill>
              </a:ln>
            </c:spPr>
          </c:marker>
          <c:xVal>
            <c:numRef>
              <c:f>Start_up!$B$10:$B$111</c:f>
            </c:numRef>
          </c:xVal>
          <c:yVal>
            <c:numRef>
              <c:f>Start_up!$C$10:$C$111</c:f>
              <c:numCache/>
            </c:numRef>
          </c:yVal>
        </c:ser>
        <c:ser>
          <c:idx val="1"/>
          <c:order val="1"/>
          <c:tx>
            <c:v>IFET</c:v>
          </c:tx>
          <c:spPr>
            <a:ln>
              <a:noFill/>
            </a:ln>
          </c:spPr>
          <c:marker>
            <c:symbol val="circle"/>
            <c:size val="7"/>
            <c:spPr>
              <a:solidFill>
                <a:schemeClr val="accent2"/>
              </a:solidFill>
              <a:ln cmpd="sng">
                <a:solidFill>
                  <a:schemeClr val="accent2"/>
                </a:solidFill>
              </a:ln>
            </c:spPr>
          </c:marker>
          <c:xVal>
            <c:numRef>
              <c:f>Start_up!$B$10:$B$111</c:f>
            </c:numRef>
          </c:xVal>
          <c:yVal>
            <c:numRef>
              <c:f>Start_up!$G$10:$G$112</c:f>
              <c:numCache/>
            </c:numRef>
          </c:yVal>
        </c:ser>
        <c:dLbls>
          <c:showLegendKey val="0"/>
          <c:showVal val="0"/>
          <c:showCatName val="0"/>
          <c:showSerName val="0"/>
          <c:showPercent val="0"/>
          <c:showBubbleSize val="0"/>
        </c:dLbls>
        <c:axId val="345124148"/>
        <c:axId val="479312736"/>
      </c:scatterChart>
      <c:valAx>
        <c:axId val="345124148"/>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Output Voltage (V)</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479312736"/>
      </c:valAx>
      <c:valAx>
        <c:axId val="479312736"/>
        <c:scaling>
          <c:orientation val="minMax"/>
          <c:min val="0.0"/>
        </c:scaling>
        <c:delete val="0"/>
        <c:axPos val="l"/>
        <c:majorGridlines>
          <c:spPr>
            <a:ln>
              <a:solidFill>
                <a:srgbClr val="B7B7B7"/>
              </a:solidFill>
            </a:ln>
          </c:spPr>
        </c:majorGridlines>
        <c:title>
          <c:tx>
            <c:rich>
              <a:bodyPr/>
              <a:lstStyle/>
              <a:p>
                <a:pPr lvl="0">
                  <a:defRPr b="1" i="0">
                    <a:solidFill>
                      <a:srgbClr val="000000"/>
                    </a:solidFill>
                    <a:latin typeface="+mn-lt"/>
                  </a:defRPr>
                </a:pPr>
                <a:r>
                  <a:rPr b="1" i="0">
                    <a:solidFill>
                      <a:srgbClr val="000000"/>
                    </a:solidFill>
                    <a:latin typeface="+mn-lt"/>
                  </a:rPr>
                  <a:t>Current (A)</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345124148"/>
      </c:valAx>
    </c:plotArea>
    <c:legend>
      <c:legendPos val="r"/>
      <c:layout>
        <c:manualLayout>
          <c:xMode val="edge"/>
          <c:yMode val="edge"/>
          <c:x val="0.34624252358789726"/>
          <c:y val="0.24479126489117176"/>
        </c:manualLayout>
      </c:layout>
      <c:overlay val="0"/>
      <c:txPr>
        <a:bodyPr/>
        <a:lstStyle/>
        <a:p>
          <a:pPr lvl="0">
            <a:defRPr b="1" i="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a:solidFill>
                  <a:srgbClr val="757575"/>
                </a:solidFill>
                <a:latin typeface="+mn-lt"/>
              </a:defRPr>
            </a:pPr>
            <a:r>
              <a:rPr b="1" i="0">
                <a:solidFill>
                  <a:srgbClr val="757575"/>
                </a:solidFill>
                <a:latin typeface="+mn-lt"/>
              </a:rPr>
              <a:t>Load and FET current vs Vout</a:t>
            </a:r>
          </a:p>
        </c:rich>
      </c:tx>
      <c:overlay val="0"/>
    </c:title>
    <c:plotArea>
      <c:layout>
        <c:manualLayout>
          <c:xMode val="edge"/>
          <c:yMode val="edge"/>
          <c:x val="0.20280211116986058"/>
          <c:y val="0.14177960397727438"/>
          <c:w val="0.699671320576761"/>
          <c:h val="0.7119118368882501"/>
        </c:manualLayout>
      </c:layout>
      <c:scatterChart>
        <c:scatterStyle val="lineMarker"/>
        <c:ser>
          <c:idx val="0"/>
          <c:order val="0"/>
          <c:tx>
            <c:v>ILOAD</c:v>
          </c:tx>
          <c:spPr>
            <a:ln>
              <a:noFill/>
            </a:ln>
          </c:spPr>
          <c:marker>
            <c:symbol val="circle"/>
            <c:size val="7"/>
            <c:spPr>
              <a:solidFill>
                <a:schemeClr val="accent1"/>
              </a:solidFill>
              <a:ln cmpd="sng">
                <a:solidFill>
                  <a:schemeClr val="accent1"/>
                </a:solidFill>
              </a:ln>
            </c:spPr>
          </c:marker>
          <c:xVal>
            <c:numRef>
              <c:f>Start_up!$B$129:$B$230</c:f>
            </c:numRef>
          </c:xVal>
          <c:yVal>
            <c:numRef>
              <c:f>Start_up!$C$10:$C$111</c:f>
              <c:numCache/>
            </c:numRef>
          </c:yVal>
        </c:ser>
        <c:ser>
          <c:idx val="1"/>
          <c:order val="1"/>
          <c:tx>
            <c:v>IFET</c:v>
          </c:tx>
          <c:spPr>
            <a:ln>
              <a:noFill/>
            </a:ln>
          </c:spPr>
          <c:marker>
            <c:symbol val="circle"/>
            <c:size val="7"/>
            <c:spPr>
              <a:solidFill>
                <a:schemeClr val="accent2"/>
              </a:solidFill>
              <a:ln cmpd="sng">
                <a:solidFill>
                  <a:schemeClr val="accent2"/>
                </a:solidFill>
              </a:ln>
            </c:spPr>
          </c:marker>
          <c:xVal>
            <c:numRef>
              <c:f>Start_up!$B$129:$B$230</c:f>
            </c:numRef>
          </c:xVal>
          <c:yVal>
            <c:numRef>
              <c:f>Start_up!$G$129:$G$230</c:f>
              <c:numCache/>
            </c:numRef>
          </c:yVal>
        </c:ser>
        <c:dLbls>
          <c:showLegendKey val="0"/>
          <c:showVal val="0"/>
          <c:showCatName val="0"/>
          <c:showSerName val="0"/>
          <c:showPercent val="0"/>
          <c:showBubbleSize val="0"/>
        </c:dLbls>
        <c:axId val="971304663"/>
        <c:axId val="398061208"/>
      </c:scatterChart>
      <c:valAx>
        <c:axId val="971304663"/>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Output Voltage (V)</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398061208"/>
      </c:valAx>
      <c:valAx>
        <c:axId val="398061208"/>
        <c:scaling>
          <c:orientation val="minMax"/>
          <c:min val="0.0"/>
        </c:scaling>
        <c:delete val="0"/>
        <c:axPos val="l"/>
        <c:majorGridlines>
          <c:spPr>
            <a:ln>
              <a:solidFill>
                <a:srgbClr val="B7B7B7"/>
              </a:solidFill>
            </a:ln>
          </c:spPr>
        </c:majorGridlines>
        <c:title>
          <c:tx>
            <c:rich>
              <a:bodyPr/>
              <a:lstStyle/>
              <a:p>
                <a:pPr lvl="0">
                  <a:defRPr b="1" i="0">
                    <a:solidFill>
                      <a:srgbClr val="000000"/>
                    </a:solidFill>
                    <a:latin typeface="+mn-lt"/>
                  </a:defRPr>
                </a:pPr>
                <a:r>
                  <a:rPr b="1" i="0">
                    <a:solidFill>
                      <a:srgbClr val="000000"/>
                    </a:solidFill>
                    <a:latin typeface="+mn-lt"/>
                  </a:rPr>
                  <a:t>Current (A)</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971304663"/>
      </c:valAx>
    </c:plotArea>
    <c:legend>
      <c:legendPos val="r"/>
      <c:layout>
        <c:manualLayout>
          <c:xMode val="edge"/>
          <c:yMode val="edge"/>
          <c:x val="0.34624252358789726"/>
          <c:y val="0.24479126489117176"/>
        </c:manualLayout>
      </c:layout>
      <c:overlay val="0"/>
      <c:txPr>
        <a:bodyPr/>
        <a:lstStyle/>
        <a:p>
          <a:pPr lvl="0">
            <a:defRPr b="1" i="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1" Type="http://schemas.openxmlformats.org/officeDocument/2006/relationships/image" Target="../media/image6.png"/><Relationship Id="rId10" Type="http://schemas.openxmlformats.org/officeDocument/2006/relationships/image" Target="../media/image9.png"/><Relationship Id="rId13" Type="http://schemas.openxmlformats.org/officeDocument/2006/relationships/image" Target="../media/image5.png"/><Relationship Id="rId12" Type="http://schemas.openxmlformats.org/officeDocument/2006/relationships/image" Target="../media/image1.png"/><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hyperlink" Target="http://www.ti.com/lit/gpn/lm5069" TargetMode="External"/><Relationship Id="rId9" Type="http://schemas.openxmlformats.org/officeDocument/2006/relationships/image" Target="../media/image14.png"/><Relationship Id="rId15" Type="http://schemas.openxmlformats.org/officeDocument/2006/relationships/image" Target="../media/image2.gif"/><Relationship Id="rId14" Type="http://schemas.openxmlformats.org/officeDocument/2006/relationships/image" Target="../media/image7.gif"/><Relationship Id="rId17" Type="http://schemas.openxmlformats.org/officeDocument/2006/relationships/image" Target="../media/image4.png"/><Relationship Id="rId16" Type="http://schemas.openxmlformats.org/officeDocument/2006/relationships/image" Target="../media/image8.jpg"/><Relationship Id="rId5" Type="http://schemas.openxmlformats.org/officeDocument/2006/relationships/image" Target="../media/image12.png"/><Relationship Id="rId6" Type="http://schemas.openxmlformats.org/officeDocument/2006/relationships/image" Target="../media/image11.png"/><Relationship Id="rId7" Type="http://schemas.openxmlformats.org/officeDocument/2006/relationships/image" Target="../media/image13.png"/><Relationship Id="rId8"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95250</xdr:rowOff>
    </xdr:from>
    <xdr:ext cx="9067800" cy="552450"/>
    <xdr:sp>
      <xdr:nvSpPr>
        <xdr:cNvPr id="3" name="Shape 3"/>
        <xdr:cNvSpPr/>
      </xdr:nvSpPr>
      <xdr:spPr>
        <a:xfrm>
          <a:off x="812100" y="3508538"/>
          <a:ext cx="9067800" cy="5429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142875</xdr:colOff>
      <xdr:row>2</xdr:row>
      <xdr:rowOff>28575</xdr:rowOff>
    </xdr:from>
    <xdr:ext cx="2209800" cy="4095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266700</xdr:colOff>
      <xdr:row>52</xdr:row>
      <xdr:rowOff>76200</xdr:rowOff>
    </xdr:from>
    <xdr:ext cx="16744950" cy="257175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7</xdr:col>
      <xdr:colOff>1143000</xdr:colOff>
      <xdr:row>74</xdr:row>
      <xdr:rowOff>95250</xdr:rowOff>
    </xdr:from>
    <xdr:ext cx="17868900" cy="2505075"/>
    <xdr:graphicFrame>
      <xdr:nvGraphicFramePr>
        <xdr:cNvPr id="2"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7</xdr:col>
      <xdr:colOff>1123950</xdr:colOff>
      <xdr:row>88</xdr:row>
      <xdr:rowOff>142875</xdr:rowOff>
    </xdr:from>
    <xdr:ext cx="17859375" cy="2105025"/>
    <xdr:graphicFrame>
      <xdr:nvGraphicFramePr>
        <xdr:cNvPr id="3"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0</xdr:col>
      <xdr:colOff>57150</xdr:colOff>
      <xdr:row>1</xdr:row>
      <xdr:rowOff>95250</xdr:rowOff>
    </xdr:from>
    <xdr:ext cx="9572625" cy="1047750"/>
    <xdr:sp>
      <xdr:nvSpPr>
        <xdr:cNvPr id="4" name="Shape 4">
          <a:hlinkClick r:id="rId4"/>
        </xdr:cNvPr>
        <xdr:cNvSpPr txBox="1"/>
      </xdr:nvSpPr>
      <xdr:spPr>
        <a:xfrm>
          <a:off x="564450" y="3260888"/>
          <a:ext cx="9563100" cy="10382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36575" spcFirstLastPara="1" rIns="0" wrap="square" tIns="22850">
          <a:noAutofit/>
        </a:bodyPr>
        <a:lstStyle/>
        <a:p>
          <a:pPr indent="0" lvl="0" marL="0" rtl="0" algn="l">
            <a:spcBef>
              <a:spcPts val="0"/>
            </a:spcBef>
            <a:spcAft>
              <a:spcPts val="0"/>
            </a:spcAft>
            <a:buNone/>
          </a:pPr>
          <a:r>
            <a:rPr b="1" i="0" lang="en-US" sz="1200" u="sng" strike="noStrike">
              <a:solidFill>
                <a:srgbClr val="FF0000"/>
              </a:solidFill>
              <a:latin typeface="Arial"/>
              <a:ea typeface="Arial"/>
              <a:cs typeface="Arial"/>
              <a:sym typeface="Arial"/>
            </a:rPr>
            <a:t>Note</a:t>
          </a:r>
          <a:r>
            <a:rPr b="1" i="0" lang="en-US" sz="1200" u="none" strike="noStrike">
              <a:solidFill>
                <a:srgbClr val="FF0000"/>
              </a:solidFill>
              <a:latin typeface="Arial"/>
              <a:ea typeface="Arial"/>
              <a:cs typeface="Arial"/>
              <a:sym typeface="Arial"/>
            </a:rPr>
            <a:t>:</a:t>
          </a:r>
          <a:r>
            <a:rPr b="0" i="0" lang="en-US" sz="1200" u="none" strike="noStrike">
              <a:solidFill>
                <a:srgbClr val="FF0000"/>
              </a:solidFill>
              <a:latin typeface="Arial"/>
              <a:ea typeface="Arial"/>
              <a:cs typeface="Arial"/>
              <a:sym typeface="Arial"/>
            </a:rPr>
            <a:t> The components calculated in this worksheet are reasonable starting values for a design using the LM5069 Hot-swap Controller. As such, they are not optimized for any particular performance attribute. Tolerances of the components are not included in the calculations. See the Instructions tab for additional information.</a:t>
          </a:r>
          <a:endParaRPr sz="1400"/>
        </a:p>
        <a:p>
          <a:pPr indent="0" lvl="0" marL="0" rtl="0" algn="l">
            <a:spcBef>
              <a:spcPts val="0"/>
            </a:spcBef>
            <a:spcAft>
              <a:spcPts val="0"/>
            </a:spcAft>
            <a:buNone/>
          </a:pPr>
          <a:r>
            <a:rPr b="1" i="0" lang="en-US" sz="1200" u="none" strike="noStrike">
              <a:solidFill>
                <a:srgbClr val="000000"/>
              </a:solidFill>
              <a:latin typeface="Arial"/>
              <a:ea typeface="Arial"/>
              <a:cs typeface="Arial"/>
              <a:sym typeface="Arial"/>
            </a:rPr>
            <a:t>Consult the LM5069 datasheet for more detail.</a:t>
          </a:r>
          <a:endParaRPr sz="1400"/>
        </a:p>
      </xdr:txBody>
    </xdr:sp>
    <xdr:clientData fLocksWithSheet="0"/>
  </xdr:oneCellAnchor>
  <xdr:oneCellAnchor>
    <xdr:from>
      <xdr:col>41</xdr:col>
      <xdr:colOff>-19050</xdr:colOff>
      <xdr:row>62</xdr:row>
      <xdr:rowOff>0</xdr:rowOff>
    </xdr:from>
    <xdr:ext cx="38100" cy="1524000"/>
    <xdr:sp>
      <xdr:nvSpPr>
        <xdr:cNvPr id="5" name="Shape 5"/>
        <xdr:cNvSpPr txBox="1"/>
      </xdr:nvSpPr>
      <xdr:spPr>
        <a:xfrm>
          <a:off x="5346000" y="3018000"/>
          <a:ext cx="0" cy="152400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Max R</a:t>
          </a:r>
          <a:r>
            <a:rPr b="0" baseline="-25000" i="0" lang="en-US" sz="1000" u="none" strike="noStrike">
              <a:solidFill>
                <a:srgbClr val="000000"/>
              </a:solidFill>
              <a:latin typeface="Arial"/>
              <a:ea typeface="Arial"/>
              <a:cs typeface="Arial"/>
              <a:sym typeface="Arial"/>
            </a:rPr>
            <a:t>S</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45 mV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(Max Load Current x 1.01)</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800" u="none" strike="noStrike">
              <a:solidFill>
                <a:srgbClr val="000000"/>
              </a:solidFill>
              <a:latin typeface="Arial"/>
              <a:ea typeface="Arial"/>
              <a:cs typeface="Arial"/>
              <a:sym typeface="Arial"/>
            </a:rPr>
            <a:t>The 1.01 factor provides 1% margin from the max. normal load current.</a:t>
          </a:r>
          <a:endParaRPr sz="1400"/>
        </a:p>
      </xdr:txBody>
    </xdr:sp>
    <xdr:clientData fLocksWithSheet="0"/>
  </xdr:oneCellAnchor>
  <xdr:oneCellAnchor>
    <xdr:from>
      <xdr:col>10</xdr:col>
      <xdr:colOff>47625</xdr:colOff>
      <xdr:row>38</xdr:row>
      <xdr:rowOff>161925</xdr:rowOff>
    </xdr:from>
    <xdr:ext cx="190500" cy="266700"/>
    <xdr:sp>
      <xdr:nvSpPr>
        <xdr:cNvPr id="6" name="Shape 6"/>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13</xdr:col>
      <xdr:colOff>428625</xdr:colOff>
      <xdr:row>58</xdr:row>
      <xdr:rowOff>85725</xdr:rowOff>
    </xdr:from>
    <xdr:ext cx="190500" cy="266700"/>
    <xdr:sp>
      <xdr:nvSpPr>
        <xdr:cNvPr id="6" name="Shape 6"/>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14</xdr:col>
      <xdr:colOff>657225</xdr:colOff>
      <xdr:row>76</xdr:row>
      <xdr:rowOff>19050</xdr:rowOff>
    </xdr:from>
    <xdr:ext cx="190500" cy="266700"/>
    <xdr:sp>
      <xdr:nvSpPr>
        <xdr:cNvPr id="7" name="Shape 7"/>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12</xdr:col>
      <xdr:colOff>0</xdr:colOff>
      <xdr:row>8</xdr:row>
      <xdr:rowOff>0</xdr:rowOff>
    </xdr:from>
    <xdr:ext cx="28575" cy="9525"/>
    <xdr:sp>
      <xdr:nvSpPr>
        <xdr:cNvPr descr="http://d.adroll.com/cm/x/out" id="8" name="Shape 8"/>
        <xdr:cNvSpPr/>
      </xdr:nvSpPr>
      <xdr:spPr>
        <a:xfrm>
          <a:off x="5341238" y="3775238"/>
          <a:ext cx="95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12</xdr:col>
      <xdr:colOff>38100</xdr:colOff>
      <xdr:row>8</xdr:row>
      <xdr:rowOff>0</xdr:rowOff>
    </xdr:from>
    <xdr:ext cx="28575" cy="9525"/>
    <xdr:sp>
      <xdr:nvSpPr>
        <xdr:cNvPr descr="http://d.adroll.com/cm/x/out" id="8" name="Shape 8"/>
        <xdr:cNvSpPr/>
      </xdr:nvSpPr>
      <xdr:spPr>
        <a:xfrm>
          <a:off x="5341238" y="3775238"/>
          <a:ext cx="95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12</xdr:col>
      <xdr:colOff>57150</xdr:colOff>
      <xdr:row>8</xdr:row>
      <xdr:rowOff>0</xdr:rowOff>
    </xdr:from>
    <xdr:ext cx="28575" cy="9525"/>
    <xdr:sp>
      <xdr:nvSpPr>
        <xdr:cNvPr descr="http://d.adroll.com/cm/x/out" id="8" name="Shape 8"/>
        <xdr:cNvSpPr/>
      </xdr:nvSpPr>
      <xdr:spPr>
        <a:xfrm>
          <a:off x="5341238" y="3775238"/>
          <a:ext cx="95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11</xdr:col>
      <xdr:colOff>0</xdr:colOff>
      <xdr:row>8</xdr:row>
      <xdr:rowOff>0</xdr:rowOff>
    </xdr:from>
    <xdr:ext cx="28575" cy="9525"/>
    <xdr:sp>
      <xdr:nvSpPr>
        <xdr:cNvPr descr="http://d.adroll.com/cm/x/out" id="8" name="Shape 8"/>
        <xdr:cNvSpPr/>
      </xdr:nvSpPr>
      <xdr:spPr>
        <a:xfrm>
          <a:off x="5341238" y="3775238"/>
          <a:ext cx="95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11</xdr:col>
      <xdr:colOff>38100</xdr:colOff>
      <xdr:row>8</xdr:row>
      <xdr:rowOff>0</xdr:rowOff>
    </xdr:from>
    <xdr:ext cx="28575" cy="9525"/>
    <xdr:sp>
      <xdr:nvSpPr>
        <xdr:cNvPr descr="http://d.adroll.com/cm/x/out" id="8" name="Shape 8"/>
        <xdr:cNvSpPr/>
      </xdr:nvSpPr>
      <xdr:spPr>
        <a:xfrm>
          <a:off x="5341238" y="3775238"/>
          <a:ext cx="95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11</xdr:col>
      <xdr:colOff>57150</xdr:colOff>
      <xdr:row>8</xdr:row>
      <xdr:rowOff>0</xdr:rowOff>
    </xdr:from>
    <xdr:ext cx="28575" cy="9525"/>
    <xdr:sp>
      <xdr:nvSpPr>
        <xdr:cNvPr descr="http://d.adroll.com/cm/x/out" id="8" name="Shape 8"/>
        <xdr:cNvSpPr/>
      </xdr:nvSpPr>
      <xdr:spPr>
        <a:xfrm>
          <a:off x="5341238" y="3775238"/>
          <a:ext cx="9525"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7</xdr:col>
      <xdr:colOff>561975</xdr:colOff>
      <xdr:row>32</xdr:row>
      <xdr:rowOff>142875</xdr:rowOff>
    </xdr:from>
    <xdr:ext cx="2400300" cy="2276475"/>
    <xdr:grpSp>
      <xdr:nvGrpSpPr>
        <xdr:cNvPr id="2" name="Shape 2"/>
        <xdr:cNvGrpSpPr/>
      </xdr:nvGrpSpPr>
      <xdr:grpSpPr>
        <a:xfrm>
          <a:off x="4145850" y="2641763"/>
          <a:ext cx="2400301" cy="2276475"/>
          <a:chOff x="4145850" y="2641763"/>
          <a:chExt cx="2400301" cy="2276475"/>
        </a:xfrm>
      </xdr:grpSpPr>
      <xdr:grpSp>
        <xdr:nvGrpSpPr>
          <xdr:cNvPr id="9" name="Shape 9"/>
          <xdr:cNvGrpSpPr/>
        </xdr:nvGrpSpPr>
        <xdr:grpSpPr>
          <a:xfrm>
            <a:off x="4145850" y="2641763"/>
            <a:ext cx="2400301" cy="2276475"/>
            <a:chOff x="8000997" y="4398069"/>
            <a:chExt cx="2861886" cy="2548942"/>
          </a:xfrm>
        </xdr:grpSpPr>
        <xdr:sp>
          <xdr:nvSpPr>
            <xdr:cNvPr id="10" name="Shape 10"/>
            <xdr:cNvSpPr/>
          </xdr:nvSpPr>
          <xdr:spPr>
            <a:xfrm>
              <a:off x="8000997" y="4398069"/>
              <a:ext cx="2861875" cy="2548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 name="Shape 11"/>
            <xdr:cNvGrpSpPr/>
          </xdr:nvGrpSpPr>
          <xdr:grpSpPr>
            <a:xfrm>
              <a:off x="8000997" y="4398069"/>
              <a:ext cx="2861885" cy="2548942"/>
              <a:chOff x="8000997" y="4398069"/>
              <a:chExt cx="2861885" cy="2548942"/>
            </a:xfrm>
          </xdr:grpSpPr>
          <xdr:grpSp>
            <xdr:nvGrpSpPr>
              <xdr:cNvPr id="12" name="Shape 12"/>
              <xdr:cNvGrpSpPr/>
            </xdr:nvGrpSpPr>
            <xdr:grpSpPr>
              <a:xfrm>
                <a:off x="8000997" y="4398069"/>
                <a:ext cx="2861885" cy="2548942"/>
                <a:chOff x="7507942" y="4356356"/>
                <a:chExt cx="2857500" cy="2548942"/>
              </a:xfrm>
            </xdr:grpSpPr>
            <xdr:pic>
              <xdr:nvPicPr>
                <xdr:cNvPr id="13" name="Shape 13"/>
                <xdr:cNvPicPr preferRelativeResize="0"/>
              </xdr:nvPicPr>
              <xdr:blipFill rotWithShape="1">
                <a:blip r:embed="rId5">
                  <a:alphaModFix/>
                </a:blip>
                <a:srcRect b="0" l="0" r="0" t="0"/>
                <a:stretch/>
              </xdr:blipFill>
              <xdr:spPr>
                <a:xfrm>
                  <a:off x="7507942" y="4356356"/>
                  <a:ext cx="2857500" cy="2548942"/>
                </a:xfrm>
                <a:prstGeom prst="rect">
                  <a:avLst/>
                </a:prstGeom>
                <a:noFill/>
                <a:ln>
                  <a:noFill/>
                </a:ln>
              </xdr:spPr>
            </xdr:pic>
            <xdr:sp>
              <xdr:nvSpPr>
                <xdr:cNvPr id="14" name="Shape 14"/>
                <xdr:cNvSpPr txBox="1"/>
              </xdr:nvSpPr>
              <xdr:spPr>
                <a:xfrm>
                  <a:off x="8561294" y="5154706"/>
                  <a:ext cx="593912" cy="246529"/>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lang="en-US" sz="1200">
                      <a:solidFill>
                        <a:schemeClr val="dk1"/>
                      </a:solidFill>
                      <a:latin typeface="Arial"/>
                      <a:ea typeface="Arial"/>
                      <a:cs typeface="Arial"/>
                      <a:sym typeface="Arial"/>
                    </a:rPr>
                    <a:t>R</a:t>
                  </a:r>
                  <a:r>
                    <a:rPr b="0" baseline="-25000" lang="en-US" sz="1200">
                      <a:solidFill>
                        <a:schemeClr val="dk1"/>
                      </a:solidFill>
                      <a:latin typeface="Arial"/>
                      <a:ea typeface="Arial"/>
                      <a:cs typeface="Arial"/>
                      <a:sym typeface="Arial"/>
                    </a:rPr>
                    <a:t>CL1</a:t>
                  </a:r>
                  <a:endParaRPr sz="1400"/>
                </a:p>
              </xdr:txBody>
            </xdr:sp>
            <xdr:sp>
              <xdr:nvSpPr>
                <xdr:cNvPr id="15" name="Shape 15"/>
                <xdr:cNvSpPr txBox="1"/>
              </xdr:nvSpPr>
              <xdr:spPr>
                <a:xfrm>
                  <a:off x="9397253" y="5038165"/>
                  <a:ext cx="593912" cy="246529"/>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lang="en-US" sz="1200">
                      <a:solidFill>
                        <a:schemeClr val="dk1"/>
                      </a:solidFill>
                      <a:latin typeface="Arial"/>
                      <a:ea typeface="Arial"/>
                      <a:cs typeface="Arial"/>
                      <a:sym typeface="Arial"/>
                    </a:rPr>
                    <a:t>R</a:t>
                  </a:r>
                  <a:r>
                    <a:rPr b="0" baseline="-25000" lang="en-US" sz="1200">
                      <a:solidFill>
                        <a:schemeClr val="dk1"/>
                      </a:solidFill>
                      <a:latin typeface="Arial"/>
                      <a:ea typeface="Arial"/>
                      <a:cs typeface="Arial"/>
                      <a:sym typeface="Arial"/>
                    </a:rPr>
                    <a:t>CL2</a:t>
                  </a:r>
                  <a:endParaRPr sz="1400"/>
                </a:p>
              </xdr:txBody>
            </xdr:sp>
          </xdr:grpSp>
          <xdr:sp>
            <xdr:nvSpPr>
              <xdr:cNvPr id="16" name="Shape 16"/>
              <xdr:cNvSpPr/>
            </xdr:nvSpPr>
            <xdr:spPr>
              <a:xfrm>
                <a:off x="9177130" y="6493565"/>
                <a:ext cx="1432893" cy="323022"/>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grpSp>
        <xdr:pic>
          <xdr:nvPicPr>
            <xdr:cNvPr id="17" name="Shape 17"/>
            <xdr:cNvPicPr preferRelativeResize="0"/>
          </xdr:nvPicPr>
          <xdr:blipFill rotWithShape="1">
            <a:blip r:embed="rId6">
              <a:alphaModFix/>
            </a:blip>
            <a:srcRect b="0" l="0" r="0" t="0"/>
            <a:stretch/>
          </xdr:blipFill>
          <xdr:spPr>
            <a:xfrm>
              <a:off x="8912674" y="6278217"/>
              <a:ext cx="1424743" cy="447261"/>
            </a:xfrm>
            <a:prstGeom prst="rect">
              <a:avLst/>
            </a:prstGeom>
            <a:noFill/>
            <a:ln>
              <a:noFill/>
            </a:ln>
          </xdr:spPr>
        </xdr:pic>
      </xdr:grpSp>
    </xdr:grpSp>
    <xdr:clientData fLocksWithSheet="0"/>
  </xdr:oneCellAnchor>
  <xdr:oneCellAnchor>
    <xdr:from>
      <xdr:col>10</xdr:col>
      <xdr:colOff>152400</xdr:colOff>
      <xdr:row>35</xdr:row>
      <xdr:rowOff>95250</xdr:rowOff>
    </xdr:from>
    <xdr:ext cx="2686050" cy="571500"/>
    <xdr:sp>
      <xdr:nvSpPr>
        <xdr:cNvPr id="18" name="Shape 18"/>
        <xdr:cNvSpPr txBox="1"/>
      </xdr:nvSpPr>
      <xdr:spPr>
        <a:xfrm>
          <a:off x="4007589" y="3497166"/>
          <a:ext cx="2676822" cy="565668"/>
        </a:xfrm>
        <a:prstGeom prst="rect">
          <a:avLst/>
        </a:prstGeom>
        <a:noFill/>
        <a:ln>
          <a:noFill/>
        </a:ln>
      </xdr:spPr>
      <xdr:txBody>
        <a:bodyPr anchorCtr="0" anchor="t" bIns="0" lIns="0" spcFirstLastPara="1" rIns="0" wrap="square" tIns="0">
          <a:spAutoFit/>
        </a:bodyPr>
        <a:lstStyle/>
        <a:p>
          <a:pPr indent="0" lvl="0" marL="0" rtl="0" algn="l">
            <a:spcBef>
              <a:spcPts val="0"/>
            </a:spcBef>
            <a:spcAft>
              <a:spcPts val="0"/>
            </a:spcAft>
            <a:buNone/>
          </a:pPr>
          <a:r>
            <a:t/>
          </a:r>
          <a:endParaRPr sz="1800"/>
        </a:p>
      </xdr:txBody>
    </xdr:sp>
    <xdr:clientData fLocksWithSheet="0"/>
  </xdr:oneCellAnchor>
  <xdr:oneCellAnchor>
    <xdr:from>
      <xdr:col>7</xdr:col>
      <xdr:colOff>676275</xdr:colOff>
      <xdr:row>101</xdr:row>
      <xdr:rowOff>28575</xdr:rowOff>
    </xdr:from>
    <xdr:ext cx="18726150" cy="3962400"/>
    <xdr:grpSp>
      <xdr:nvGrpSpPr>
        <xdr:cNvPr id="2" name="Shape 2"/>
        <xdr:cNvGrpSpPr/>
      </xdr:nvGrpSpPr>
      <xdr:grpSpPr>
        <a:xfrm>
          <a:off x="-2" y="1798801"/>
          <a:ext cx="10692000" cy="3962400"/>
          <a:chOff x="-2" y="1798801"/>
          <a:chExt cx="10692000" cy="3962400"/>
        </a:xfrm>
      </xdr:grpSpPr>
      <xdr:grpSp>
        <xdr:nvGrpSpPr>
          <xdr:cNvPr id="19" name="Shape 19"/>
          <xdr:cNvGrpSpPr/>
        </xdr:nvGrpSpPr>
        <xdr:grpSpPr>
          <a:xfrm>
            <a:off x="-2" y="1798801"/>
            <a:ext cx="10692000" cy="3962400"/>
            <a:chOff x="10255251" y="21236123"/>
            <a:chExt cx="5852582" cy="3962443"/>
          </a:xfrm>
        </xdr:grpSpPr>
        <xdr:sp>
          <xdr:nvSpPr>
            <xdr:cNvPr id="10" name="Shape 10"/>
            <xdr:cNvSpPr/>
          </xdr:nvSpPr>
          <xdr:spPr>
            <a:xfrm>
              <a:off x="10255251" y="21236123"/>
              <a:ext cx="5852575" cy="3962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 name="Shape 20"/>
            <xdr:cNvGrpSpPr/>
          </xdr:nvGrpSpPr>
          <xdr:grpSpPr>
            <a:xfrm>
              <a:off x="10255251" y="21236123"/>
              <a:ext cx="5852582" cy="1803793"/>
              <a:chOff x="9951695" y="21172623"/>
              <a:chExt cx="5633593" cy="1803793"/>
            </a:xfrm>
          </xdr:grpSpPr>
          <xdr:grpSp>
            <xdr:nvGrpSpPr>
              <xdr:cNvPr id="21" name="Shape 21"/>
              <xdr:cNvGrpSpPr/>
            </xdr:nvGrpSpPr>
            <xdr:grpSpPr>
              <a:xfrm>
                <a:off x="9951695" y="21172623"/>
                <a:ext cx="2589555" cy="1803793"/>
                <a:chOff x="7873187" y="15693217"/>
                <a:chExt cx="2797322" cy="1973620"/>
              </a:xfrm>
            </xdr:grpSpPr>
            <xdr:pic>
              <xdr:nvPicPr>
                <xdr:cNvPr id="22" name="Shape 22"/>
                <xdr:cNvPicPr preferRelativeResize="0"/>
              </xdr:nvPicPr>
              <xdr:blipFill rotWithShape="1">
                <a:blip r:embed="rId7">
                  <a:alphaModFix/>
                </a:blip>
                <a:srcRect b="0" l="0" r="0" t="87769"/>
                <a:stretch/>
              </xdr:blipFill>
              <xdr:spPr>
                <a:xfrm>
                  <a:off x="7873187" y="17443173"/>
                  <a:ext cx="2797322" cy="223664"/>
                </a:xfrm>
                <a:prstGeom prst="rect">
                  <a:avLst/>
                </a:prstGeom>
                <a:noFill/>
                <a:ln>
                  <a:noFill/>
                </a:ln>
              </xdr:spPr>
            </xdr:pic>
            <xdr:pic>
              <xdr:nvPicPr>
                <xdr:cNvPr id="23" name="Shape 23"/>
                <xdr:cNvPicPr preferRelativeResize="0"/>
              </xdr:nvPicPr>
              <xdr:blipFill rotWithShape="1">
                <a:blip r:embed="rId8">
                  <a:alphaModFix/>
                </a:blip>
                <a:srcRect b="0" l="0" r="0" t="0"/>
                <a:stretch/>
              </xdr:blipFill>
              <xdr:spPr>
                <a:xfrm>
                  <a:off x="7887218" y="15693217"/>
                  <a:ext cx="2764216" cy="1760647"/>
                </a:xfrm>
                <a:prstGeom prst="rect">
                  <a:avLst/>
                </a:prstGeom>
                <a:noFill/>
                <a:ln>
                  <a:noFill/>
                </a:ln>
              </xdr:spPr>
            </xdr:pic>
          </xdr:grpSp>
          <xdr:grpSp>
            <xdr:nvGrpSpPr>
              <xdr:cNvPr id="24" name="Shape 24"/>
              <xdr:cNvGrpSpPr/>
            </xdr:nvGrpSpPr>
            <xdr:grpSpPr>
              <a:xfrm>
                <a:off x="12721166" y="21219584"/>
                <a:ext cx="2864122" cy="1612157"/>
                <a:chOff x="12721166" y="21219584"/>
                <a:chExt cx="2864122" cy="1612157"/>
              </a:xfrm>
            </xdr:grpSpPr>
            <xdr:sp>
              <xdr:nvSpPr>
                <xdr:cNvPr id="25" name="Shape 25"/>
                <xdr:cNvSpPr txBox="1"/>
              </xdr:nvSpPr>
              <xdr:spPr>
                <a:xfrm>
                  <a:off x="12721166" y="21219584"/>
                  <a:ext cx="2198719" cy="384565"/>
                </a:xfrm>
                <a:prstGeom prst="rect">
                  <a:avLst/>
                </a:prstGeom>
                <a:noFill/>
                <a:ln>
                  <a:noFill/>
                </a:ln>
              </xdr:spPr>
              <xdr:txBody>
                <a:bodyPr anchorCtr="0" anchor="t" bIns="0" lIns="0" spcFirstLastPara="1" rIns="0" wrap="square" tIns="0">
                  <a:noAutofit/>
                </a:bodyPr>
                <a:lstStyle/>
                <a:p>
                  <a:pPr indent="0" lvl="0" marL="0" rtl="0" algn="l">
                    <a:spcBef>
                      <a:spcPts val="0"/>
                    </a:spcBef>
                    <a:spcAft>
                      <a:spcPts val="0"/>
                    </a:spcAft>
                    <a:buNone/>
                  </a:pPr>
                  <a:r>
                    <a:t/>
                  </a:r>
                  <a:endParaRPr b="0" sz="1200"/>
                </a:p>
              </xdr:txBody>
            </xdr:sp>
            <xdr:sp>
              <xdr:nvSpPr>
                <xdr:cNvPr id="26" name="Shape 26"/>
                <xdr:cNvSpPr txBox="1"/>
              </xdr:nvSpPr>
              <xdr:spPr>
                <a:xfrm>
                  <a:off x="12721166" y="21791709"/>
                  <a:ext cx="2121515" cy="402346"/>
                </a:xfrm>
                <a:prstGeom prst="rect">
                  <a:avLst/>
                </a:prstGeom>
                <a:noFill/>
                <a:ln>
                  <a:noFill/>
                </a:ln>
              </xdr:spPr>
              <xdr:txBody>
                <a:bodyPr anchorCtr="0" anchor="t" bIns="0" lIns="0" spcFirstLastPara="1" rIns="0" wrap="square" tIns="0">
                  <a:noAutofit/>
                </a:bodyPr>
                <a:lstStyle/>
                <a:p>
                  <a:pPr indent="0" lvl="0" marL="0" rtl="0" algn="l">
                    <a:spcBef>
                      <a:spcPts val="0"/>
                    </a:spcBef>
                    <a:spcAft>
                      <a:spcPts val="0"/>
                    </a:spcAft>
                    <a:buNone/>
                  </a:pPr>
                  <a:r>
                    <a:t/>
                  </a:r>
                  <a:endParaRPr sz="1200"/>
                </a:p>
              </xdr:txBody>
            </xdr:sp>
            <xdr:sp>
              <xdr:nvSpPr>
                <xdr:cNvPr id="27" name="Shape 27"/>
                <xdr:cNvSpPr txBox="1"/>
              </xdr:nvSpPr>
              <xdr:spPr>
                <a:xfrm>
                  <a:off x="12721166" y="22421050"/>
                  <a:ext cx="2864122" cy="410691"/>
                </a:xfrm>
                <a:prstGeom prst="rect">
                  <a:avLst/>
                </a:prstGeom>
                <a:noFill/>
                <a:ln>
                  <a:noFill/>
                </a:ln>
              </xdr:spPr>
              <xdr:txBody>
                <a:bodyPr anchorCtr="0" anchor="t" bIns="0" lIns="0" spcFirstLastPara="1" rIns="0" wrap="square" tIns="0">
                  <a:noAutofit/>
                </a:bodyPr>
                <a:lstStyle/>
                <a:p>
                  <a:pPr indent="0" lvl="0" marL="0" rtl="0" algn="l">
                    <a:spcBef>
                      <a:spcPts val="0"/>
                    </a:spcBef>
                    <a:spcAft>
                      <a:spcPts val="0"/>
                    </a:spcAft>
                    <a:buNone/>
                  </a:pPr>
                  <a:r>
                    <a:t/>
                  </a:r>
                  <a:endParaRPr sz="1200"/>
                </a:p>
              </xdr:txBody>
            </xdr:sp>
          </xdr:grpSp>
        </xdr:grpSp>
        <xdr:grpSp>
          <xdr:nvGrpSpPr>
            <xdr:cNvPr id="28" name="Shape 28"/>
            <xdr:cNvGrpSpPr/>
          </xdr:nvGrpSpPr>
          <xdr:grpSpPr>
            <a:xfrm>
              <a:off x="10255251" y="23346833"/>
              <a:ext cx="5217581" cy="1851734"/>
              <a:chOff x="9849099" y="23346833"/>
              <a:chExt cx="5003199" cy="1851734"/>
            </a:xfrm>
          </xdr:grpSpPr>
          <xdr:grpSp>
            <xdr:nvGrpSpPr>
              <xdr:cNvPr id="29" name="Shape 29"/>
              <xdr:cNvGrpSpPr/>
            </xdr:nvGrpSpPr>
            <xdr:grpSpPr>
              <a:xfrm>
                <a:off x="9849099" y="23378583"/>
                <a:ext cx="2512233" cy="1809751"/>
                <a:chOff x="7880463" y="18111714"/>
                <a:chExt cx="2861764" cy="1978020"/>
              </a:xfrm>
            </xdr:grpSpPr>
            <xdr:pic>
              <xdr:nvPicPr>
                <xdr:cNvPr id="30" name="Shape 30"/>
                <xdr:cNvPicPr preferRelativeResize="0"/>
              </xdr:nvPicPr>
              <xdr:blipFill rotWithShape="1">
                <a:blip r:embed="rId9">
                  <a:alphaModFix/>
                </a:blip>
                <a:srcRect b="0" l="0" r="0" t="90397"/>
                <a:stretch/>
              </xdr:blipFill>
              <xdr:spPr>
                <a:xfrm>
                  <a:off x="7949257" y="19911391"/>
                  <a:ext cx="2792970" cy="178343"/>
                </a:xfrm>
                <a:prstGeom prst="rect">
                  <a:avLst/>
                </a:prstGeom>
                <a:noFill/>
                <a:ln>
                  <a:noFill/>
                </a:ln>
              </xdr:spPr>
            </xdr:pic>
            <xdr:pic>
              <xdr:nvPicPr>
                <xdr:cNvPr id="31" name="Shape 31"/>
                <xdr:cNvPicPr preferRelativeResize="0"/>
              </xdr:nvPicPr>
              <xdr:blipFill rotWithShape="1">
                <a:blip r:embed="rId10">
                  <a:alphaModFix/>
                </a:blip>
                <a:srcRect b="0" l="0" r="0" t="0"/>
                <a:stretch/>
              </xdr:blipFill>
              <xdr:spPr>
                <a:xfrm>
                  <a:off x="7880463" y="18111714"/>
                  <a:ext cx="2845515" cy="1736436"/>
                </a:xfrm>
                <a:prstGeom prst="rect">
                  <a:avLst/>
                </a:prstGeom>
                <a:noFill/>
                <a:ln>
                  <a:noFill/>
                </a:ln>
              </xdr:spPr>
            </xdr:pic>
          </xdr:grpSp>
          <xdr:grpSp>
            <xdr:nvGrpSpPr>
              <xdr:cNvPr id="32" name="Shape 32"/>
              <xdr:cNvGrpSpPr/>
            </xdr:nvGrpSpPr>
            <xdr:grpSpPr>
              <a:xfrm>
                <a:off x="12657666" y="23346833"/>
                <a:ext cx="2194633" cy="1851734"/>
                <a:chOff x="12816416" y="23346833"/>
                <a:chExt cx="2194633" cy="1851734"/>
              </a:xfrm>
            </xdr:grpSpPr>
            <xdr:sp>
              <xdr:nvSpPr>
                <xdr:cNvPr id="33" name="Shape 33"/>
                <xdr:cNvSpPr txBox="1"/>
              </xdr:nvSpPr>
              <xdr:spPr>
                <a:xfrm>
                  <a:off x="12816416" y="23346833"/>
                  <a:ext cx="2127137" cy="384565"/>
                </a:xfrm>
                <a:prstGeom prst="rect">
                  <a:avLst/>
                </a:prstGeom>
                <a:noFill/>
                <a:ln>
                  <a:noFill/>
                </a:ln>
              </xdr:spPr>
              <xdr:txBody>
                <a:bodyPr anchorCtr="0" anchor="t" bIns="0" lIns="0" spcFirstLastPara="1" rIns="0" wrap="square" tIns="0">
                  <a:noAutofit/>
                </a:bodyPr>
                <a:lstStyle/>
                <a:p>
                  <a:pPr indent="0" lvl="0" marL="0" marR="0" rtl="0" algn="l">
                    <a:lnSpc>
                      <a:spcPct val="100000"/>
                    </a:lnSpc>
                    <a:spcBef>
                      <a:spcPts val="0"/>
                    </a:spcBef>
                    <a:spcAft>
                      <a:spcPts val="0"/>
                    </a:spcAft>
                    <a:buSzPts val="1200"/>
                    <a:buFont typeface="Arial"/>
                    <a:buNone/>
                  </a:pPr>
                  <a:r>
                    <a:t/>
                  </a:r>
                  <a:endParaRPr sz="1200"/>
                </a:p>
              </xdr:txBody>
            </xdr:sp>
            <xdr:sp>
              <xdr:nvSpPr>
                <xdr:cNvPr id="34" name="Shape 34"/>
                <xdr:cNvSpPr txBox="1"/>
              </xdr:nvSpPr>
              <xdr:spPr>
                <a:xfrm>
                  <a:off x="12816416" y="23814070"/>
                  <a:ext cx="1769230" cy="402345"/>
                </a:xfrm>
                <a:prstGeom prst="rect">
                  <a:avLst/>
                </a:prstGeom>
                <a:noFill/>
                <a:ln>
                  <a:noFill/>
                </a:ln>
              </xdr:spPr>
              <xdr:txBody>
                <a:bodyPr anchorCtr="0" anchor="t" bIns="0" lIns="0" spcFirstLastPara="1" rIns="0" wrap="square" tIns="0">
                  <a:noAutofit/>
                </a:bodyPr>
                <a:lstStyle/>
                <a:p>
                  <a:pPr indent="0" lvl="0" marL="0" rtl="0" algn="l">
                    <a:spcBef>
                      <a:spcPts val="0"/>
                    </a:spcBef>
                    <a:spcAft>
                      <a:spcPts val="0"/>
                    </a:spcAft>
                    <a:buNone/>
                  </a:pPr>
                  <a:r>
                    <a:t/>
                  </a:r>
                  <a:endParaRPr sz="1200"/>
                </a:p>
              </xdr:txBody>
            </xdr:sp>
            <xdr:sp>
              <xdr:nvSpPr>
                <xdr:cNvPr id="35" name="Shape 35"/>
                <xdr:cNvSpPr txBox="1"/>
              </xdr:nvSpPr>
              <xdr:spPr>
                <a:xfrm>
                  <a:off x="12816416" y="24328984"/>
                  <a:ext cx="2194633" cy="384565"/>
                </a:xfrm>
                <a:prstGeom prst="rect">
                  <a:avLst/>
                </a:prstGeom>
                <a:noFill/>
                <a:ln>
                  <a:noFill/>
                </a:ln>
              </xdr:spPr>
              <xdr:txBody>
                <a:bodyPr anchorCtr="0" anchor="t" bIns="0" lIns="0" spcFirstLastPara="1" rIns="0" wrap="square" tIns="0">
                  <a:noAutofit/>
                </a:bodyPr>
                <a:lstStyle/>
                <a:p>
                  <a:pPr indent="0" lvl="0" marL="0" rtl="0" algn="l">
                    <a:spcBef>
                      <a:spcPts val="0"/>
                    </a:spcBef>
                    <a:spcAft>
                      <a:spcPts val="0"/>
                    </a:spcAft>
                    <a:buNone/>
                  </a:pPr>
                  <a:r>
                    <a:t/>
                  </a:r>
                  <a:endParaRPr b="0" sz="1200"/>
                </a:p>
              </xdr:txBody>
            </xdr:sp>
            <xdr:sp>
              <xdr:nvSpPr>
                <xdr:cNvPr id="36" name="Shape 36"/>
                <xdr:cNvSpPr txBox="1"/>
              </xdr:nvSpPr>
              <xdr:spPr>
                <a:xfrm>
                  <a:off x="12816416" y="24796220"/>
                  <a:ext cx="1783854" cy="402346"/>
                </a:xfrm>
                <a:prstGeom prst="rect">
                  <a:avLst/>
                </a:prstGeom>
                <a:noFill/>
                <a:ln>
                  <a:noFill/>
                </a:ln>
              </xdr:spPr>
              <xdr:txBody>
                <a:bodyPr anchorCtr="0" anchor="t" bIns="0" lIns="0" spcFirstLastPara="1" rIns="0" wrap="square" tIns="0">
                  <a:noAutofit/>
                </a:bodyPr>
                <a:lstStyle/>
                <a:p>
                  <a:pPr indent="0" lvl="0" marL="0" rtl="0" algn="l">
                    <a:spcBef>
                      <a:spcPts val="0"/>
                    </a:spcBef>
                    <a:spcAft>
                      <a:spcPts val="0"/>
                    </a:spcAft>
                    <a:buNone/>
                  </a:pPr>
                  <a:r>
                    <a:t/>
                  </a:r>
                  <a:endParaRPr sz="1200"/>
                </a:p>
              </xdr:txBody>
            </xdr:sp>
          </xdr:grpSp>
        </xdr:grpSp>
      </xdr:grpSp>
    </xdr:grpSp>
    <xdr:clientData fLocksWithSheet="0"/>
  </xdr:oneCellAnchor>
  <xdr:oneCellAnchor>
    <xdr:from>
      <xdr:col>0</xdr:col>
      <xdr:colOff>76200</xdr:colOff>
      <xdr:row>0</xdr:row>
      <xdr:rowOff>171450</xdr:rowOff>
    </xdr:from>
    <xdr:ext cx="1609725" cy="438150"/>
    <xdr:pic>
      <xdr:nvPicPr>
        <xdr:cNvPr id="0" name="image6.png"/>
        <xdr:cNvPicPr preferRelativeResize="0"/>
      </xdr:nvPicPr>
      <xdr:blipFill>
        <a:blip cstate="print" r:embed="rId11"/>
        <a:stretch>
          <a:fillRect/>
        </a:stretch>
      </xdr:blipFill>
      <xdr:spPr>
        <a:prstGeom prst="rect">
          <a:avLst/>
        </a:prstGeom>
        <a:noFill/>
      </xdr:spPr>
    </xdr:pic>
    <xdr:clientData fLocksWithSheet="0"/>
  </xdr:oneCellAnchor>
  <xdr:oneCellAnchor>
    <xdr:from>
      <xdr:col>5</xdr:col>
      <xdr:colOff>95250</xdr:colOff>
      <xdr:row>156</xdr:row>
      <xdr:rowOff>95250</xdr:rowOff>
    </xdr:from>
    <xdr:ext cx="4067175" cy="0"/>
    <xdr:pic>
      <xdr:nvPicPr>
        <xdr:cNvPr id="0" name="image1.png"/>
        <xdr:cNvPicPr preferRelativeResize="0"/>
      </xdr:nvPicPr>
      <xdr:blipFill>
        <a:blip cstate="print" r:embed="rId12"/>
        <a:stretch>
          <a:fillRect/>
        </a:stretch>
      </xdr:blipFill>
      <xdr:spPr>
        <a:prstGeom prst="rect">
          <a:avLst/>
        </a:prstGeom>
        <a:noFill/>
      </xdr:spPr>
    </xdr:pic>
    <xdr:clientData fLocksWithSheet="0"/>
  </xdr:oneCellAnchor>
  <xdr:oneCellAnchor>
    <xdr:from>
      <xdr:col>16</xdr:col>
      <xdr:colOff>714375</xdr:colOff>
      <xdr:row>0</xdr:row>
      <xdr:rowOff>114300</xdr:rowOff>
    </xdr:from>
    <xdr:ext cx="1533525" cy="400050"/>
    <xdr:pic>
      <xdr:nvPicPr>
        <xdr:cNvPr id="0" name="image5.png"/>
        <xdr:cNvPicPr preferRelativeResize="0"/>
      </xdr:nvPicPr>
      <xdr:blipFill>
        <a:blip cstate="print" r:embed="rId13"/>
        <a:stretch>
          <a:fillRect/>
        </a:stretch>
      </xdr:blipFill>
      <xdr:spPr>
        <a:prstGeom prst="rect">
          <a:avLst/>
        </a:prstGeom>
        <a:noFill/>
      </xdr:spPr>
    </xdr:pic>
    <xdr:clientData fLocksWithSheet="0"/>
  </xdr:oneCellAnchor>
  <xdr:oneCellAnchor>
    <xdr:from>
      <xdr:col>12</xdr:col>
      <xdr:colOff>0</xdr:colOff>
      <xdr:row>8</xdr:row>
      <xdr:rowOff>0</xdr:rowOff>
    </xdr:from>
    <xdr:ext cx="9525" cy="9525"/>
    <xdr:pic>
      <xdr:nvPicPr>
        <xdr:cNvPr descr="http://d.adroll.com/cm/w/out" id="0" name="image7.gif"/>
        <xdr:cNvPicPr preferRelativeResize="0"/>
      </xdr:nvPicPr>
      <xdr:blipFill>
        <a:blip cstate="print" r:embed="rId14"/>
        <a:stretch>
          <a:fillRect/>
        </a:stretch>
      </xdr:blipFill>
      <xdr:spPr>
        <a:prstGeom prst="rect">
          <a:avLst/>
        </a:prstGeom>
        <a:noFill/>
      </xdr:spPr>
    </xdr:pic>
    <xdr:clientData fLocksWithSheet="0"/>
  </xdr:oneCellAnchor>
  <xdr:oneCellAnchor>
    <xdr:from>
      <xdr:col>12</xdr:col>
      <xdr:colOff>38100</xdr:colOff>
      <xdr:row>8</xdr:row>
      <xdr:rowOff>0</xdr:rowOff>
    </xdr:from>
    <xdr:ext cx="9525" cy="9525"/>
    <xdr:pic>
      <xdr:nvPicPr>
        <xdr:cNvPr descr="http://www.googleadservices.com/pagead/conversion/1011350631/?label=RVMHCInF3gYQ5_if4gM&amp;guid=ON&amp;script=0&amp;ord=7961155264590054" id="0" name="image2.gif"/>
        <xdr:cNvPicPr preferRelativeResize="0"/>
      </xdr:nvPicPr>
      <xdr:blipFill>
        <a:blip cstate="print" r:embed="rId15"/>
        <a:stretch>
          <a:fillRect/>
        </a:stretch>
      </xdr:blipFill>
      <xdr:spPr>
        <a:prstGeom prst="rect">
          <a:avLst/>
        </a:prstGeom>
        <a:noFill/>
      </xdr:spPr>
    </xdr:pic>
    <xdr:clientData fLocksWithSheet="0"/>
  </xdr:oneCellAnchor>
  <xdr:oneCellAnchor>
    <xdr:from>
      <xdr:col>11</xdr:col>
      <xdr:colOff>0</xdr:colOff>
      <xdr:row>8</xdr:row>
      <xdr:rowOff>0</xdr:rowOff>
    </xdr:from>
    <xdr:ext cx="9525" cy="9525"/>
    <xdr:pic>
      <xdr:nvPicPr>
        <xdr:cNvPr descr="http://d.adroll.com/cm/w/out" id="0" name="image7.gif"/>
        <xdr:cNvPicPr preferRelativeResize="0"/>
      </xdr:nvPicPr>
      <xdr:blipFill>
        <a:blip cstate="print" r:embed="rId14"/>
        <a:stretch>
          <a:fillRect/>
        </a:stretch>
      </xdr:blipFill>
      <xdr:spPr>
        <a:prstGeom prst="rect">
          <a:avLst/>
        </a:prstGeom>
        <a:noFill/>
      </xdr:spPr>
    </xdr:pic>
    <xdr:clientData fLocksWithSheet="0"/>
  </xdr:oneCellAnchor>
  <xdr:oneCellAnchor>
    <xdr:from>
      <xdr:col>11</xdr:col>
      <xdr:colOff>38100</xdr:colOff>
      <xdr:row>8</xdr:row>
      <xdr:rowOff>0</xdr:rowOff>
    </xdr:from>
    <xdr:ext cx="9525" cy="9525"/>
    <xdr:pic>
      <xdr:nvPicPr>
        <xdr:cNvPr descr="http://www.googleadservices.com/pagead/conversion/1011350631/?label=RVMHCInF3gYQ5_if4gM&amp;guid=ON&amp;script=0&amp;ord=8507963758213217" id="0" name="image2.gif"/>
        <xdr:cNvPicPr preferRelativeResize="0"/>
      </xdr:nvPicPr>
      <xdr:blipFill>
        <a:blip cstate="print" r:embed="rId15"/>
        <a:stretch>
          <a:fillRect/>
        </a:stretch>
      </xdr:blipFill>
      <xdr:spPr>
        <a:prstGeom prst="rect">
          <a:avLst/>
        </a:prstGeom>
        <a:noFill/>
      </xdr:spPr>
    </xdr:pic>
    <xdr:clientData fLocksWithSheet="0"/>
  </xdr:oneCellAnchor>
  <xdr:oneCellAnchor>
    <xdr:from>
      <xdr:col>8</xdr:col>
      <xdr:colOff>142875</xdr:colOff>
      <xdr:row>1</xdr:row>
      <xdr:rowOff>47625</xdr:rowOff>
    </xdr:from>
    <xdr:ext cx="1952625" cy="1257300"/>
    <xdr:pic>
      <xdr:nvPicPr>
        <xdr:cNvPr descr="Positive High Voltage Hot Swap / Inrush Current Controller with Power Limiting - LM5069" id="0" name="image8.jpg"/>
        <xdr:cNvPicPr preferRelativeResize="0"/>
      </xdr:nvPicPr>
      <xdr:blipFill>
        <a:blip cstate="print" r:embed="rId16"/>
        <a:stretch>
          <a:fillRect/>
        </a:stretch>
      </xdr:blipFill>
      <xdr:spPr>
        <a:prstGeom prst="rect">
          <a:avLst/>
        </a:prstGeom>
        <a:noFill/>
      </xdr:spPr>
    </xdr:pic>
    <xdr:clientData fLocksWithSheet="0"/>
  </xdr:oneCellAnchor>
  <xdr:oneCellAnchor>
    <xdr:from>
      <xdr:col>1</xdr:col>
      <xdr:colOff>85725</xdr:colOff>
      <xdr:row>125</xdr:row>
      <xdr:rowOff>95250</xdr:rowOff>
    </xdr:from>
    <xdr:ext cx="4876800" cy="2181225"/>
    <xdr:pic>
      <xdr:nvPicPr>
        <xdr:cNvPr id="0" name="image4.png"/>
        <xdr:cNvPicPr preferRelativeResize="0"/>
      </xdr:nvPicPr>
      <xdr:blipFill>
        <a:blip cstate="print" r:embed="rId17"/>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647700</xdr:colOff>
      <xdr:row>128</xdr:row>
      <xdr:rowOff>76200</xdr:rowOff>
    </xdr:from>
    <xdr:ext cx="3867150" cy="3914775"/>
    <xdr:sp>
      <xdr:nvSpPr>
        <xdr:cNvPr id="37" name="Shape 37"/>
        <xdr:cNvSpPr txBox="1"/>
      </xdr:nvSpPr>
      <xdr:spPr>
        <a:xfrm>
          <a:off x="3417188" y="1827375"/>
          <a:ext cx="3857625" cy="390525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1" i="0" lang="en-US" sz="1000" u="none" strike="noStrike">
              <a:solidFill>
                <a:srgbClr val="000000"/>
              </a:solidFill>
              <a:latin typeface="Arial"/>
              <a:ea typeface="Arial"/>
              <a:cs typeface="Arial"/>
              <a:sym typeface="Arial"/>
            </a:rPr>
            <a:t>Option A</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R1 = </a:t>
          </a:r>
          <a:r>
            <a:rPr b="0" i="0" lang="en-US" sz="1000" u="sng" strike="noStrike">
              <a:solidFill>
                <a:srgbClr val="000000"/>
              </a:solidFill>
              <a:latin typeface="Arial"/>
              <a:ea typeface="Arial"/>
              <a:cs typeface="Arial"/>
              <a:sym typeface="Arial"/>
            </a:rPr>
            <a:t> UVLO</a:t>
          </a:r>
          <a:r>
            <a:rPr b="0" i="0" lang="en-US" sz="800" u="sng" strike="noStrike">
              <a:solidFill>
                <a:srgbClr val="000000"/>
              </a:solidFill>
              <a:latin typeface="Arial"/>
              <a:ea typeface="Arial"/>
              <a:cs typeface="Arial"/>
              <a:sym typeface="Arial"/>
            </a:rPr>
            <a:t>(upper)</a:t>
          </a:r>
          <a:r>
            <a:rPr b="0" i="0" lang="en-US" sz="1000" u="sng" strike="noStrike">
              <a:solidFill>
                <a:srgbClr val="000000"/>
              </a:solidFill>
              <a:latin typeface="Arial"/>
              <a:ea typeface="Arial"/>
              <a:cs typeface="Arial"/>
              <a:sym typeface="Arial"/>
            </a:rPr>
            <a:t> - UVLO</a:t>
          </a:r>
          <a:r>
            <a:rPr b="0" i="0" lang="en-US" sz="800" u="sng" strike="noStrike">
              <a:solidFill>
                <a:srgbClr val="000000"/>
              </a:solidFill>
              <a:latin typeface="Arial"/>
              <a:ea typeface="Arial"/>
              <a:cs typeface="Arial"/>
              <a:sym typeface="Arial"/>
            </a:rPr>
            <a:t>(lower)</a:t>
          </a:r>
          <a:r>
            <a:rPr b="0" i="0" lang="en-US" sz="1000" u="sng" strike="noStrike">
              <a:solidFill>
                <a:srgbClr val="000000"/>
              </a:solidFill>
              <a:latin typeface="Arial"/>
              <a:ea typeface="Arial"/>
              <a:cs typeface="Arial"/>
              <a:sym typeface="Arial"/>
            </a:rPr>
            <a:t>  </a:t>
          </a:r>
          <a:r>
            <a:rPr b="0" i="0" lang="en-US" sz="1000" u="none"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21 uA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R3 = </a:t>
          </a:r>
          <a:r>
            <a:rPr b="0" i="0" lang="en-US" sz="1000" u="sng" strike="noStrike">
              <a:solidFill>
                <a:srgbClr val="000000"/>
              </a:solidFill>
              <a:latin typeface="Arial"/>
              <a:ea typeface="Arial"/>
              <a:cs typeface="Arial"/>
              <a:sym typeface="Arial"/>
            </a:rPr>
            <a:t>         R1 x UVLO</a:t>
          </a:r>
          <a:r>
            <a:rPr b="0" i="0" lang="en-US" sz="800" u="sng" strike="noStrike">
              <a:solidFill>
                <a:srgbClr val="000000"/>
              </a:solidFill>
              <a:latin typeface="Arial"/>
              <a:ea typeface="Arial"/>
              <a:cs typeface="Arial"/>
              <a:sym typeface="Arial"/>
            </a:rPr>
            <a:t>(lower)</a:t>
          </a:r>
          <a:r>
            <a:rPr b="0" i="0" lang="en-US" sz="1000" u="sng" strike="noStrike">
              <a:solidFill>
                <a:srgbClr val="000000"/>
              </a:solidFill>
              <a:latin typeface="Arial"/>
              <a:ea typeface="Arial"/>
              <a:cs typeface="Arial"/>
              <a:sym typeface="Arial"/>
            </a:rPr>
            <a:t> x 2.5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x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R2 =  </a:t>
          </a:r>
          <a:r>
            <a:rPr b="0" i="0" lang="en-US" sz="1000" u="sng" strike="noStrike">
              <a:solidFill>
                <a:srgbClr val="000000"/>
              </a:solidFill>
              <a:latin typeface="Arial"/>
              <a:ea typeface="Arial"/>
              <a:cs typeface="Arial"/>
              <a:sym typeface="Arial"/>
            </a:rPr>
            <a:t>       2.5V  x  R1      </a:t>
          </a:r>
          <a:r>
            <a:rPr b="0" i="0" lang="en-US" sz="1000" u="none" strike="noStrike">
              <a:solidFill>
                <a:srgbClr val="000000"/>
              </a:solidFill>
              <a:latin typeface="Arial"/>
              <a:ea typeface="Arial"/>
              <a:cs typeface="Arial"/>
              <a:sym typeface="Arial"/>
            </a:rPr>
            <a:t>    -  R3</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2.5V + (R1 x  </a:t>
          </a:r>
          <a:r>
            <a:rPr b="0" i="0" lang="en-US" sz="1000" u="sng" strike="noStrike">
              <a:solidFill>
                <a:srgbClr val="000000"/>
              </a:solidFill>
              <a:latin typeface="Arial"/>
              <a:ea typeface="Arial"/>
              <a:cs typeface="Arial"/>
              <a:sym typeface="Arial"/>
            </a:rPr>
            <a:t>( 2.5V     </a:t>
          </a:r>
          <a:r>
            <a:rPr b="0" i="0" lang="en-US" sz="1000" u="none" strike="noStrike">
              <a:solidFill>
                <a:srgbClr val="000000"/>
              </a:solidFill>
              <a:latin typeface="Arial"/>
              <a:ea typeface="Arial"/>
              <a:cs typeface="Arial"/>
              <a:sym typeface="Arial"/>
            </a:rPr>
            <a:t> +  21uA)</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 +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 x </a:t>
          </a:r>
          <a:r>
            <a:rPr b="0" i="0" lang="en-US" sz="1000" u="sng" strike="noStrike">
              <a:solidFill>
                <a:srgbClr val="000000"/>
              </a:solidFill>
              <a:latin typeface="Arial"/>
              <a:ea typeface="Arial"/>
              <a:cs typeface="Arial"/>
              <a:sym typeface="Arial"/>
            </a:rPr>
            <a:t> (R1 + R2 + R3)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 +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2.5V x (R1 + R2 + R3)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((R1 + R2) x ((</a:t>
          </a:r>
          <a:r>
            <a:rPr b="0" i="0" lang="en-US" sz="1000" u="sng" strike="noStrike">
              <a:solidFill>
                <a:srgbClr val="000000"/>
              </a:solidFill>
              <a:latin typeface="Arial"/>
              <a:ea typeface="Arial"/>
              <a:cs typeface="Arial"/>
              <a:sym typeface="Arial"/>
            </a:rPr>
            <a:t> 2.5V)</a:t>
          </a:r>
          <a:r>
            <a:rPr b="0" i="0" lang="en-US" sz="1000" u="none" strike="noStrike">
              <a:solidFill>
                <a:srgbClr val="000000"/>
              </a:solidFill>
              <a:latin typeface="Arial"/>
              <a:ea typeface="Arial"/>
              <a:cs typeface="Arial"/>
              <a:sym typeface="Arial"/>
            </a:rPr>
            <a:t>  -  21uA)) + 2.5V</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xdr:txBody>
    </xdr:sp>
    <xdr:clientData fLocksWithSheet="0"/>
  </xdr:oneCellAnchor>
  <xdr:oneCellAnchor>
    <xdr:from>
      <xdr:col>6</xdr:col>
      <xdr:colOff>28575</xdr:colOff>
      <xdr:row>177</xdr:row>
      <xdr:rowOff>123825</xdr:rowOff>
    </xdr:from>
    <xdr:ext cx="2600325" cy="1685925"/>
    <xdr:sp>
      <xdr:nvSpPr>
        <xdr:cNvPr id="38" name="Shape 38"/>
        <xdr:cNvSpPr txBox="1"/>
      </xdr:nvSpPr>
      <xdr:spPr>
        <a:xfrm>
          <a:off x="4045838" y="2937038"/>
          <a:ext cx="2600325" cy="16859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Rpwr = 1.428 x 10</a:t>
          </a:r>
          <a:r>
            <a:rPr b="0" baseline="30000" i="0" lang="en-US" sz="1000" u="none" strike="noStrike">
              <a:solidFill>
                <a:srgbClr val="000000"/>
              </a:solidFill>
              <a:latin typeface="Arial"/>
              <a:ea typeface="Arial"/>
              <a:cs typeface="Arial"/>
              <a:sym typeface="Arial"/>
            </a:rPr>
            <a:t>5</a:t>
          </a:r>
          <a:r>
            <a:rPr b="0" i="0" lang="en-US" sz="1000" u="none" strike="noStrike">
              <a:solidFill>
                <a:srgbClr val="000000"/>
              </a:solidFill>
              <a:latin typeface="Arial"/>
              <a:ea typeface="Arial"/>
              <a:cs typeface="Arial"/>
              <a:sym typeface="Arial"/>
            </a:rPr>
            <a:t> x Rs x P</a:t>
          </a:r>
          <a:r>
            <a:rPr b="0" baseline="-25000" i="0" lang="en-US" sz="1000" u="none" strike="noStrike">
              <a:solidFill>
                <a:srgbClr val="000000"/>
              </a:solidFill>
              <a:latin typeface="Arial"/>
              <a:ea typeface="Arial"/>
              <a:cs typeface="Arial"/>
              <a:sym typeface="Arial"/>
            </a:rPr>
            <a:t>FET</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P</a:t>
          </a:r>
          <a:r>
            <a:rPr b="0" baseline="-25000" i="0" lang="en-US" sz="1000" u="none" strike="noStrike">
              <a:solidFill>
                <a:srgbClr val="000000"/>
              </a:solidFill>
              <a:latin typeface="Arial"/>
              <a:ea typeface="Arial"/>
              <a:cs typeface="Arial"/>
              <a:sym typeface="Arial"/>
            </a:rPr>
            <a:t>FET(min)</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4.44 x 10</a:t>
          </a:r>
          <a:r>
            <a:rPr b="0" baseline="30000" i="0" lang="en-US" sz="1000" u="sng" strike="noStrike">
              <a:solidFill>
                <a:srgbClr val="000000"/>
              </a:solidFill>
              <a:latin typeface="Arial"/>
              <a:ea typeface="Arial"/>
              <a:cs typeface="Arial"/>
              <a:sym typeface="Arial"/>
            </a:rPr>
            <a:t>-6</a:t>
          </a:r>
          <a:r>
            <a:rPr b="0" i="0" lang="en-US" sz="1000" u="sng" strike="noStrike">
              <a:solidFill>
                <a:srgbClr val="000000"/>
              </a:solidFill>
              <a:latin typeface="Arial"/>
              <a:ea typeface="Arial"/>
              <a:cs typeface="Arial"/>
              <a:sym typeface="Arial"/>
            </a:rPr>
            <a:t> x Rpwr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Rs</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P</a:t>
          </a:r>
          <a:r>
            <a:rPr b="0" baseline="-25000" i="0" lang="en-US" sz="1000" u="none" strike="noStrike">
              <a:solidFill>
                <a:srgbClr val="000000"/>
              </a:solidFill>
              <a:latin typeface="Arial"/>
              <a:ea typeface="Arial"/>
              <a:cs typeface="Arial"/>
              <a:sym typeface="Arial"/>
            </a:rPr>
            <a:t>FET(typ)</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5.85 x 10</a:t>
          </a:r>
          <a:r>
            <a:rPr b="0" baseline="30000" i="0" lang="en-US" sz="1000" u="sng" strike="noStrike">
              <a:solidFill>
                <a:srgbClr val="000000"/>
              </a:solidFill>
              <a:latin typeface="Arial"/>
              <a:ea typeface="Arial"/>
              <a:cs typeface="Arial"/>
              <a:sym typeface="Arial"/>
            </a:rPr>
            <a:t>-6</a:t>
          </a:r>
          <a:r>
            <a:rPr b="0" i="0" lang="en-US" sz="1000" u="sng" strike="noStrike">
              <a:solidFill>
                <a:srgbClr val="000000"/>
              </a:solidFill>
              <a:latin typeface="Arial"/>
              <a:ea typeface="Arial"/>
              <a:cs typeface="Arial"/>
              <a:sym typeface="Arial"/>
            </a:rPr>
            <a:t> x Rpwr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Rs</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P</a:t>
          </a:r>
          <a:r>
            <a:rPr b="0" baseline="-25000" i="0" lang="en-US" sz="1000" u="none" strike="noStrike">
              <a:solidFill>
                <a:srgbClr val="000000"/>
              </a:solidFill>
              <a:latin typeface="Arial"/>
              <a:ea typeface="Arial"/>
              <a:cs typeface="Arial"/>
              <a:sym typeface="Arial"/>
            </a:rPr>
            <a:t>FET(max)</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7.25 x 10</a:t>
          </a:r>
          <a:r>
            <a:rPr b="0" baseline="30000" i="0" lang="en-US" sz="1000" u="sng" strike="noStrike">
              <a:solidFill>
                <a:srgbClr val="000000"/>
              </a:solidFill>
              <a:latin typeface="Arial"/>
              <a:ea typeface="Arial"/>
              <a:cs typeface="Arial"/>
              <a:sym typeface="Arial"/>
            </a:rPr>
            <a:t>-6</a:t>
          </a:r>
          <a:r>
            <a:rPr b="0" i="0" lang="en-US" sz="1000" u="sng" strike="noStrike">
              <a:solidFill>
                <a:srgbClr val="000000"/>
              </a:solidFill>
              <a:latin typeface="Arial"/>
              <a:ea typeface="Arial"/>
              <a:cs typeface="Arial"/>
              <a:sym typeface="Arial"/>
            </a:rPr>
            <a:t> x Rpwr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Rs</a:t>
          </a:r>
          <a:endParaRPr sz="1400"/>
        </a:p>
      </xdr:txBody>
    </xdr:sp>
    <xdr:clientData fLocksWithSheet="0"/>
  </xdr:oneCellAnchor>
  <xdr:oneCellAnchor>
    <xdr:from>
      <xdr:col>16</xdr:col>
      <xdr:colOff>323850</xdr:colOff>
      <xdr:row>128</xdr:row>
      <xdr:rowOff>76200</xdr:rowOff>
    </xdr:from>
    <xdr:ext cx="3838575" cy="3914775"/>
    <xdr:sp>
      <xdr:nvSpPr>
        <xdr:cNvPr id="39" name="Shape 39"/>
        <xdr:cNvSpPr txBox="1"/>
      </xdr:nvSpPr>
      <xdr:spPr>
        <a:xfrm>
          <a:off x="3431475" y="1827375"/>
          <a:ext cx="3829050" cy="390525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1" i="0" lang="en-US" sz="1000" u="none" strike="noStrike">
              <a:solidFill>
                <a:srgbClr val="000000"/>
              </a:solidFill>
              <a:latin typeface="Arial"/>
              <a:ea typeface="Arial"/>
              <a:cs typeface="Arial"/>
              <a:sym typeface="Arial"/>
            </a:rPr>
            <a:t>Option B</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R1 = </a:t>
          </a:r>
          <a:r>
            <a:rPr b="0" i="0" lang="en-US" sz="1000" u="sng" strike="noStrike">
              <a:solidFill>
                <a:srgbClr val="000000"/>
              </a:solidFill>
              <a:latin typeface="Arial"/>
              <a:ea typeface="Arial"/>
              <a:cs typeface="Arial"/>
              <a:sym typeface="Arial"/>
            </a:rPr>
            <a:t> UVLO</a:t>
          </a:r>
          <a:r>
            <a:rPr b="0" i="0" lang="en-US" sz="800" u="sng" strike="noStrike">
              <a:solidFill>
                <a:srgbClr val="000000"/>
              </a:solidFill>
              <a:latin typeface="Arial"/>
              <a:ea typeface="Arial"/>
              <a:cs typeface="Arial"/>
              <a:sym typeface="Arial"/>
            </a:rPr>
            <a:t>(upper)</a:t>
          </a:r>
          <a:r>
            <a:rPr b="0" i="0" lang="en-US" sz="1000" u="sng" strike="noStrike">
              <a:solidFill>
                <a:srgbClr val="000000"/>
              </a:solidFill>
              <a:latin typeface="Arial"/>
              <a:ea typeface="Arial"/>
              <a:cs typeface="Arial"/>
              <a:sym typeface="Arial"/>
            </a:rPr>
            <a:t> - UVLO</a:t>
          </a:r>
          <a:r>
            <a:rPr b="0" i="0" lang="en-US" sz="800" u="sng" strike="noStrike">
              <a:solidFill>
                <a:srgbClr val="000000"/>
              </a:solidFill>
              <a:latin typeface="Arial"/>
              <a:ea typeface="Arial"/>
              <a:cs typeface="Arial"/>
              <a:sym typeface="Arial"/>
            </a:rPr>
            <a:t>(lower)</a:t>
          </a:r>
          <a:r>
            <a:rPr b="0" i="0" lang="en-US" sz="1000" u="sng" strike="noStrike">
              <a:solidFill>
                <a:srgbClr val="000000"/>
              </a:solidFill>
              <a:latin typeface="Arial"/>
              <a:ea typeface="Arial"/>
              <a:cs typeface="Arial"/>
              <a:sym typeface="Arial"/>
            </a:rPr>
            <a:t>  </a:t>
          </a:r>
          <a:r>
            <a:rPr b="0" i="0" lang="en-US" sz="1000" u="none"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21 uA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100">
              <a:latin typeface="Calibri"/>
              <a:ea typeface="Calibri"/>
              <a:cs typeface="Calibri"/>
              <a:sym typeface="Calibri"/>
            </a:rPr>
            <a:t>R2 =  </a:t>
          </a:r>
          <a:r>
            <a:rPr b="0" i="0" lang="en-US" sz="1100" u="sng">
              <a:latin typeface="Calibri"/>
              <a:ea typeface="Calibri"/>
              <a:cs typeface="Calibri"/>
              <a:sym typeface="Calibri"/>
            </a:rPr>
            <a:t>       2.5V  x  R1      </a:t>
          </a:r>
          <a:r>
            <a:rPr b="0" i="0" lang="en-US" sz="1100">
              <a:latin typeface="Calibri"/>
              <a:ea typeface="Calibri"/>
              <a:cs typeface="Calibri"/>
              <a:sym typeface="Calibri"/>
            </a:rPr>
            <a:t>    </a:t>
          </a:r>
          <a:endParaRPr sz="1000"/>
        </a:p>
        <a:p>
          <a:pPr indent="0" lvl="0" marL="0" rtl="0" algn="l">
            <a:spcBef>
              <a:spcPts val="0"/>
            </a:spcBef>
            <a:spcAft>
              <a:spcPts val="0"/>
            </a:spcAft>
            <a:buNone/>
          </a:pPr>
          <a:r>
            <a:rPr b="0" i="0" lang="en-US" sz="1100">
              <a:latin typeface="Calibri"/>
              <a:ea typeface="Calibri"/>
              <a:cs typeface="Calibri"/>
              <a:sym typeface="Calibri"/>
            </a:rPr>
            <a:t>          UVLO(lower) - 2.5V</a:t>
          </a:r>
          <a:endParaRPr sz="10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100">
              <a:latin typeface="Calibri"/>
              <a:ea typeface="Calibri"/>
              <a:cs typeface="Calibri"/>
              <a:sym typeface="Calibri"/>
            </a:rPr>
            <a:t>R3 = </a:t>
          </a:r>
          <a:r>
            <a:rPr b="0" i="0" lang="en-US" sz="1100" u="sng">
              <a:latin typeface="Calibri"/>
              <a:ea typeface="Calibri"/>
              <a:cs typeface="Calibri"/>
              <a:sym typeface="Calibri"/>
            </a:rPr>
            <a:t> OVLO(upper) - OVLO(lower)  </a:t>
          </a:r>
          <a:r>
            <a:rPr b="0" i="0" lang="en-US" sz="1100">
              <a:latin typeface="Calibri"/>
              <a:ea typeface="Calibri"/>
              <a:cs typeface="Calibri"/>
              <a:sym typeface="Calibri"/>
            </a:rPr>
            <a:t>         </a:t>
          </a:r>
          <a:endParaRPr sz="1000"/>
        </a:p>
        <a:p>
          <a:pPr indent="0" lvl="0" marL="0" rtl="0" algn="l">
            <a:spcBef>
              <a:spcPts val="0"/>
            </a:spcBef>
            <a:spcAft>
              <a:spcPts val="0"/>
            </a:spcAft>
            <a:buNone/>
          </a:pPr>
          <a:r>
            <a:rPr b="0" i="0" lang="en-US" sz="1100">
              <a:latin typeface="Calibri"/>
              <a:ea typeface="Calibri"/>
              <a:cs typeface="Calibri"/>
              <a:sym typeface="Calibri"/>
            </a:rPr>
            <a:t>                     21 uA </a:t>
          </a:r>
          <a:endParaRPr sz="10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100">
              <a:latin typeface="Calibri"/>
              <a:ea typeface="Calibri"/>
              <a:cs typeface="Calibri"/>
              <a:sym typeface="Calibri"/>
            </a:rPr>
            <a:t>R4 =  </a:t>
          </a:r>
          <a:r>
            <a:rPr b="0" i="0" lang="en-US" sz="1100" u="sng">
              <a:latin typeface="Calibri"/>
              <a:ea typeface="Calibri"/>
              <a:cs typeface="Calibri"/>
              <a:sym typeface="Calibri"/>
            </a:rPr>
            <a:t>       2.5V  x  R3      </a:t>
          </a:r>
          <a:r>
            <a:rPr b="0" i="0" lang="en-US" sz="1100">
              <a:latin typeface="Calibri"/>
              <a:ea typeface="Calibri"/>
              <a:cs typeface="Calibri"/>
              <a:sym typeface="Calibri"/>
            </a:rPr>
            <a:t>    </a:t>
          </a:r>
          <a:endParaRPr sz="1000"/>
        </a:p>
        <a:p>
          <a:pPr indent="0" lvl="0" marL="0" rtl="0" algn="l">
            <a:spcBef>
              <a:spcPts val="0"/>
            </a:spcBef>
            <a:spcAft>
              <a:spcPts val="0"/>
            </a:spcAft>
            <a:buNone/>
          </a:pPr>
          <a:r>
            <a:rPr b="0" i="0" lang="en-US" sz="1100">
              <a:latin typeface="Calibri"/>
              <a:ea typeface="Calibri"/>
              <a:cs typeface="Calibri"/>
              <a:sym typeface="Calibri"/>
            </a:rPr>
            <a:t>          OVLO(upper) - 2.5V</a:t>
          </a:r>
          <a:endParaRPr sz="10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2.5V + (R1 x  </a:t>
          </a:r>
          <a:r>
            <a:rPr b="0" i="0" lang="en-US" sz="1000" u="sng" strike="noStrike">
              <a:solidFill>
                <a:srgbClr val="000000"/>
              </a:solidFill>
              <a:latin typeface="Arial"/>
              <a:ea typeface="Arial"/>
              <a:cs typeface="Arial"/>
              <a:sym typeface="Arial"/>
            </a:rPr>
            <a:t>( 2.5V     </a:t>
          </a:r>
          <a:r>
            <a:rPr b="0" i="0" lang="en-US" sz="1000" u="none" strike="noStrike">
              <a:solidFill>
                <a:srgbClr val="000000"/>
              </a:solidFill>
              <a:latin typeface="Arial"/>
              <a:ea typeface="Arial"/>
              <a:cs typeface="Arial"/>
              <a:sym typeface="Arial"/>
            </a:rPr>
            <a:t> +  21uA)</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 x </a:t>
          </a:r>
          <a:r>
            <a:rPr b="0" i="0" lang="en-US" sz="1000" u="sng" strike="noStrike">
              <a:solidFill>
                <a:srgbClr val="000000"/>
              </a:solidFill>
              <a:latin typeface="Arial"/>
              <a:ea typeface="Arial"/>
              <a:cs typeface="Arial"/>
              <a:sym typeface="Arial"/>
            </a:rPr>
            <a:t> (R1 + R2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(R3 x ((</a:t>
          </a:r>
          <a:r>
            <a:rPr b="0" i="0" lang="en-US" sz="1000" u="sng" strike="noStrike">
              <a:solidFill>
                <a:srgbClr val="000000"/>
              </a:solidFill>
              <a:latin typeface="Arial"/>
              <a:ea typeface="Arial"/>
              <a:cs typeface="Arial"/>
              <a:sym typeface="Arial"/>
            </a:rPr>
            <a:t> 2.5V)</a:t>
          </a:r>
          <a:r>
            <a:rPr b="0" i="0" lang="en-US" sz="1000" u="none" strike="noStrike">
              <a:solidFill>
                <a:srgbClr val="000000"/>
              </a:solidFill>
              <a:latin typeface="Arial"/>
              <a:ea typeface="Arial"/>
              <a:cs typeface="Arial"/>
              <a:sym typeface="Arial"/>
            </a:rPr>
            <a:t>  -  21uA)) + 2.5V</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R4</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561975</xdr:colOff>
      <xdr:row>26</xdr:row>
      <xdr:rowOff>85725</xdr:rowOff>
    </xdr:from>
    <xdr:ext cx="4095750" cy="3095625"/>
    <xdr:graphicFrame>
      <xdr:nvGraphicFramePr>
        <xdr:cNvPr id="4" name="Chart 4"/>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21</xdr:col>
      <xdr:colOff>161925</xdr:colOff>
      <xdr:row>145</xdr:row>
      <xdr:rowOff>66675</xdr:rowOff>
    </xdr:from>
    <xdr:ext cx="4086225" cy="3095625"/>
    <xdr:graphicFrame>
      <xdr:nvGraphicFramePr>
        <xdr:cNvPr id="5" name="Chart 5"/>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V53:AZ63" displayName="Table_1" id="1">
  <tableColumns count="5">
    <tableColumn name="FET part number (48V FETs)" id="1"/>
    <tableColumn name="FET display name (48V FETs)" id="2"/>
    <tableColumn name="cost" id="3"/>
    <tableColumn name="power dissipation" id="4"/>
    <tableColumn name="SOA margin" id="5"/>
  </tableColumns>
  <tableStyleInfo name="Design Calculator-style" showColumnStripes="0" showFirstColumn="1" showLastColumn="1" showRowStripes="1"/>
</table>
</file>

<file path=xl/tables/table2.xml><?xml version="1.0" encoding="utf-8"?>
<table xmlns="http://schemas.openxmlformats.org/spreadsheetml/2006/main" ref="BD53:BH71" displayName="Table_2" id="2">
  <tableColumns count="5">
    <tableColumn name="FET part number (24V FETs)" id="1"/>
    <tableColumn name="FET display name (24V FETs)" id="2"/>
    <tableColumn name="cost" id="3"/>
    <tableColumn name="power dissipation" id="4"/>
    <tableColumn name="SOA margin" id="5"/>
  </tableColumns>
  <tableStyleInfo name="Design Calculator-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ti.com/lit/pdf/slva673"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www.ti.com/hotswap" TargetMode="External"/><Relationship Id="rId3" Type="http://schemas.openxmlformats.org/officeDocument/2006/relationships/hyperlink" Target="http://www.ti.com/product/lm5069" TargetMode="External"/><Relationship Id="rId4" Type="http://schemas.openxmlformats.org/officeDocument/2006/relationships/drawing" Target="../drawings/drawing2.xml"/><Relationship Id="rId9" Type="http://schemas.openxmlformats.org/officeDocument/2006/relationships/table" Target="../tables/table2.xml"/><Relationship Id="rId5" Type="http://schemas.openxmlformats.org/officeDocument/2006/relationships/vmlDrawing" Target="../drawings/vmlDrawing1.vml"/><Relationship Id="rId8"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0" Type="http://schemas.openxmlformats.org/officeDocument/2006/relationships/hyperlink" Target="https://www.ti.com/lit/gpn/csd18535ktt" TargetMode="External"/><Relationship Id="rId22" Type="http://schemas.openxmlformats.org/officeDocument/2006/relationships/hyperlink" Target="https://www.ti.com/lit/gpn/csd19506ktt" TargetMode="External"/><Relationship Id="rId21" Type="http://schemas.openxmlformats.org/officeDocument/2006/relationships/hyperlink" Target="https://www.ti.com/lit/gpn/csd18540q5b" TargetMode="External"/><Relationship Id="rId24" Type="http://schemas.openxmlformats.org/officeDocument/2006/relationships/hyperlink" Target="https://www.ti.com/lit/gpn/csd18532q5b" TargetMode="External"/><Relationship Id="rId23" Type="http://schemas.openxmlformats.org/officeDocument/2006/relationships/hyperlink" Target="https://www.ti.com/lit/gpn/csd19505ktt" TargetMode="External"/><Relationship Id="rId1" Type="http://schemas.openxmlformats.org/officeDocument/2006/relationships/hyperlink" Target="https://www.ti.com/product/CSD18536KTT" TargetMode="External"/><Relationship Id="rId2" Type="http://schemas.openxmlformats.org/officeDocument/2006/relationships/hyperlink" Target="https://www.ti.com/product/CSD18535KTT" TargetMode="External"/><Relationship Id="rId3" Type="http://schemas.openxmlformats.org/officeDocument/2006/relationships/hyperlink" Target="https://www.ti.com/product/CSD18540Q5B" TargetMode="External"/><Relationship Id="rId4" Type="http://schemas.openxmlformats.org/officeDocument/2006/relationships/hyperlink" Target="https://www.ti.com/product/CSD19506KTT" TargetMode="External"/><Relationship Id="rId9" Type="http://schemas.openxmlformats.org/officeDocument/2006/relationships/hyperlink" Target="https://www.ti.com/product/CSD19502Q5B" TargetMode="External"/><Relationship Id="rId26" Type="http://schemas.openxmlformats.org/officeDocument/2006/relationships/hyperlink" Target="https://www.ti.com/lit/gpn/csd18542ktt" TargetMode="External"/><Relationship Id="rId25" Type="http://schemas.openxmlformats.org/officeDocument/2006/relationships/hyperlink" Target="https://www.ti.com/lit/gpn/csd18532nq5b" TargetMode="External"/><Relationship Id="rId28" Type="http://schemas.openxmlformats.org/officeDocument/2006/relationships/hyperlink" Target="https://www.ti.com/lit/gpn/csd18532kcs" TargetMode="External"/><Relationship Id="rId27" Type="http://schemas.openxmlformats.org/officeDocument/2006/relationships/hyperlink" Target="https://www.ti.com/lit/gpn/csd19502q5b" TargetMode="External"/><Relationship Id="rId5" Type="http://schemas.openxmlformats.org/officeDocument/2006/relationships/hyperlink" Target="https://www.ti.com/product/CSD19505KTT" TargetMode="External"/><Relationship Id="rId6" Type="http://schemas.openxmlformats.org/officeDocument/2006/relationships/hyperlink" Target="https://www.ti.com/product/CSD18532Q5B" TargetMode="External"/><Relationship Id="rId29" Type="http://schemas.openxmlformats.org/officeDocument/2006/relationships/hyperlink" Target="https://www.ti.com/lit/gpn/csd18531q5a" TargetMode="External"/><Relationship Id="rId7" Type="http://schemas.openxmlformats.org/officeDocument/2006/relationships/hyperlink" Target="https://www.ti.com/product/CSD18532NQ5B" TargetMode="External"/><Relationship Id="rId8" Type="http://schemas.openxmlformats.org/officeDocument/2006/relationships/hyperlink" Target="https://www.ti.com/product/CSD18542KTT" TargetMode="External"/><Relationship Id="rId31" Type="http://schemas.openxmlformats.org/officeDocument/2006/relationships/hyperlink" Target="https://www.ti.com/lit/gpn/csd19501kcs" TargetMode="External"/><Relationship Id="rId30" Type="http://schemas.openxmlformats.org/officeDocument/2006/relationships/hyperlink" Target="https://www.ti.com/lit/gpn/csd18533q5a" TargetMode="External"/><Relationship Id="rId11" Type="http://schemas.openxmlformats.org/officeDocument/2006/relationships/hyperlink" Target="https://www.ti.com/product/CSD18531Q5A" TargetMode="External"/><Relationship Id="rId33" Type="http://schemas.openxmlformats.org/officeDocument/2006/relationships/hyperlink" Target="https://www.ti.com/lit/gpn/csd19503kcs" TargetMode="External"/><Relationship Id="rId10" Type="http://schemas.openxmlformats.org/officeDocument/2006/relationships/hyperlink" Target="https://www.ti.com/product/CSD18532KCS" TargetMode="External"/><Relationship Id="rId32" Type="http://schemas.openxmlformats.org/officeDocument/2006/relationships/hyperlink" Target="https://www.ti.com/lit/gpn/csd18563q5a" TargetMode="External"/><Relationship Id="rId13" Type="http://schemas.openxmlformats.org/officeDocument/2006/relationships/hyperlink" Target="https://www.ti.com/product/CSD19501KCS" TargetMode="External"/><Relationship Id="rId35" Type="http://schemas.openxmlformats.org/officeDocument/2006/relationships/hyperlink" Target="https://www.ti.com/lit/gpn/csd18543q3a" TargetMode="External"/><Relationship Id="rId12" Type="http://schemas.openxmlformats.org/officeDocument/2006/relationships/hyperlink" Target="https://www.ti.com/product/CSD18533Q5A" TargetMode="External"/><Relationship Id="rId34" Type="http://schemas.openxmlformats.org/officeDocument/2006/relationships/hyperlink" Target="https://www.ti.com/lit/gpn/csd18534q5a" TargetMode="External"/><Relationship Id="rId15" Type="http://schemas.openxmlformats.org/officeDocument/2006/relationships/hyperlink" Target="https://www.ti.com/product/CSD19503KCS" TargetMode="External"/><Relationship Id="rId37" Type="http://schemas.openxmlformats.org/officeDocument/2006/relationships/drawing" Target="../drawings/drawing5.xml"/><Relationship Id="rId14" Type="http://schemas.openxmlformats.org/officeDocument/2006/relationships/hyperlink" Target="https://www.ti.com/product/CSD18563Q5A" TargetMode="External"/><Relationship Id="rId36" Type="http://schemas.openxmlformats.org/officeDocument/2006/relationships/hyperlink" Target="https://www.ti.com/lit/gpn/csd18537nq5a" TargetMode="External"/><Relationship Id="rId17" Type="http://schemas.openxmlformats.org/officeDocument/2006/relationships/hyperlink" Target="https://www.ti.com/product/CSD18543Q3A" TargetMode="External"/><Relationship Id="rId16" Type="http://schemas.openxmlformats.org/officeDocument/2006/relationships/hyperlink" Target="https://www.ti.com/product/CSD18534Q5A" TargetMode="External"/><Relationship Id="rId19" Type="http://schemas.openxmlformats.org/officeDocument/2006/relationships/hyperlink" Target="https://www.ti.com/lit/gpn/csd18536ktt" TargetMode="External"/><Relationship Id="rId18" Type="http://schemas.openxmlformats.org/officeDocument/2006/relationships/hyperlink" Target="https://www.ti.com/product/CSD18537NQ5A" TargetMode="External"/></Relationships>
</file>

<file path=xl/worksheets/_rels/sheet6.xml.rels><?xml version="1.0" encoding="UTF-8" standalone="yes"?><Relationships xmlns="http://schemas.openxmlformats.org/package/2006/relationships"><Relationship Id="rId20" Type="http://schemas.openxmlformats.org/officeDocument/2006/relationships/hyperlink" Target="https://www.ti.com/lit/gpn/csd19538q3a" TargetMode="External"/><Relationship Id="rId21" Type="http://schemas.openxmlformats.org/officeDocument/2006/relationships/drawing" Target="../drawings/drawing6.xml"/><Relationship Id="rId1" Type="http://schemas.openxmlformats.org/officeDocument/2006/relationships/hyperlink" Target="https://www.ti.com/product/CSD19536KTT" TargetMode="External"/><Relationship Id="rId2" Type="http://schemas.openxmlformats.org/officeDocument/2006/relationships/hyperlink" Target="https://www.ti.com/product/CSD19535KTT" TargetMode="External"/><Relationship Id="rId3" Type="http://schemas.openxmlformats.org/officeDocument/2006/relationships/hyperlink" Target="https://www.ti.com/product/CSD19532Q5B" TargetMode="External"/><Relationship Id="rId4" Type="http://schemas.openxmlformats.org/officeDocument/2006/relationships/hyperlink" Target="https://www.ti.com/product/CSD19532KTT" TargetMode="External"/><Relationship Id="rId9" Type="http://schemas.openxmlformats.org/officeDocument/2006/relationships/hyperlink" Target="https://www.ti.com/product/CSD19538Q2" TargetMode="External"/><Relationship Id="rId5" Type="http://schemas.openxmlformats.org/officeDocument/2006/relationships/hyperlink" Target="https://www.ti.com/product/CSD19531Q5A" TargetMode="External"/><Relationship Id="rId6" Type="http://schemas.openxmlformats.org/officeDocument/2006/relationships/hyperlink" Target="https://www.ti.com/product/CSD19533Q5A" TargetMode="External"/><Relationship Id="rId7" Type="http://schemas.openxmlformats.org/officeDocument/2006/relationships/hyperlink" Target="https://www.ti.com/product/CSD19537Q3" TargetMode="External"/><Relationship Id="rId8" Type="http://schemas.openxmlformats.org/officeDocument/2006/relationships/hyperlink" Target="https://www.ti.com/product/CSD19534Q5A" TargetMode="External"/><Relationship Id="rId11" Type="http://schemas.openxmlformats.org/officeDocument/2006/relationships/hyperlink" Target="https://www.ti.com/lit/gpn/csd19536ktt" TargetMode="External"/><Relationship Id="rId10" Type="http://schemas.openxmlformats.org/officeDocument/2006/relationships/hyperlink" Target="https://www.ti.com/product/CSD19538Q3A" TargetMode="External"/><Relationship Id="rId13" Type="http://schemas.openxmlformats.org/officeDocument/2006/relationships/hyperlink" Target="https://www.ti.com/lit/gpn/csd19532q5b" TargetMode="External"/><Relationship Id="rId12" Type="http://schemas.openxmlformats.org/officeDocument/2006/relationships/hyperlink" Target="https://www.ti.com/lit/gpn/csd19535ktt" TargetMode="External"/><Relationship Id="rId15" Type="http://schemas.openxmlformats.org/officeDocument/2006/relationships/hyperlink" Target="https://www.ti.com/lit/gpn/csd19531q5a" TargetMode="External"/><Relationship Id="rId14" Type="http://schemas.openxmlformats.org/officeDocument/2006/relationships/hyperlink" Target="https://www.ti.com/lit/gpn/csd19532ktt" TargetMode="External"/><Relationship Id="rId17" Type="http://schemas.openxmlformats.org/officeDocument/2006/relationships/hyperlink" Target="https://www.ti.com/lit/gpn/csd19537q3" TargetMode="External"/><Relationship Id="rId16" Type="http://schemas.openxmlformats.org/officeDocument/2006/relationships/hyperlink" Target="https://www.ti.com/lit/gpn/csd19533q5a" TargetMode="External"/><Relationship Id="rId19" Type="http://schemas.openxmlformats.org/officeDocument/2006/relationships/hyperlink" Target="https://www.ti.com/lit/gpn/csd19538q2" TargetMode="External"/><Relationship Id="rId18" Type="http://schemas.openxmlformats.org/officeDocument/2006/relationships/hyperlink" Target="https://www.ti.com/lit/gpn/csd19534q5a"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8.xml"/><Relationship Id="rId3"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8.71"/>
    <col customWidth="1" min="5" max="5" width="5.29"/>
    <col customWidth="1" min="6" max="26" width="8.71"/>
  </cols>
  <sheetData>
    <row r="1" ht="12.0" customHeight="1">
      <c r="A1" s="1"/>
      <c r="B1" s="2"/>
      <c r="C1" s="2"/>
      <c r="D1" s="2"/>
      <c r="E1" s="2"/>
      <c r="F1" s="2"/>
      <c r="G1" s="2"/>
      <c r="H1" s="2"/>
      <c r="I1" s="2"/>
      <c r="J1" s="2"/>
      <c r="K1" s="2"/>
      <c r="L1" s="2"/>
      <c r="M1" s="2"/>
      <c r="N1" s="2"/>
      <c r="O1" s="2"/>
      <c r="P1" s="3"/>
    </row>
    <row r="2" ht="12.0" customHeight="1">
      <c r="A2" s="4"/>
      <c r="B2" s="5"/>
      <c r="C2" s="5"/>
      <c r="D2" s="5"/>
      <c r="E2" s="5"/>
      <c r="F2" s="5"/>
      <c r="G2" s="5"/>
      <c r="H2" s="5"/>
      <c r="I2" s="5"/>
      <c r="J2" s="5"/>
      <c r="K2" s="5"/>
      <c r="L2" s="5"/>
      <c r="M2" s="5"/>
      <c r="N2" s="5"/>
      <c r="O2" s="5"/>
      <c r="P2" s="6"/>
    </row>
    <row r="3" ht="12.0" customHeight="1">
      <c r="A3" s="4"/>
      <c r="B3" s="5"/>
      <c r="C3" s="5"/>
      <c r="D3" s="7"/>
      <c r="E3" s="5"/>
      <c r="F3" s="5"/>
      <c r="G3" s="5"/>
      <c r="H3" s="5"/>
      <c r="I3" s="5"/>
      <c r="J3" s="5"/>
      <c r="K3" s="5"/>
      <c r="L3" s="8"/>
      <c r="M3" s="5"/>
      <c r="N3" s="5"/>
      <c r="O3" s="5"/>
      <c r="P3" s="6"/>
    </row>
    <row r="4" ht="12.0" customHeight="1">
      <c r="A4" s="4"/>
      <c r="B4" s="5"/>
      <c r="C4" s="5"/>
      <c r="D4" s="9"/>
      <c r="E4" s="5"/>
      <c r="F4" s="5"/>
      <c r="G4" s="5"/>
      <c r="H4" s="5"/>
      <c r="I4" s="5"/>
      <c r="J4" s="5"/>
      <c r="K4" s="5"/>
      <c r="L4" s="5"/>
      <c r="M4" s="5"/>
      <c r="N4" s="5"/>
      <c r="O4" s="5"/>
      <c r="P4" s="6"/>
    </row>
    <row r="5" ht="12.0" customHeight="1">
      <c r="A5" s="4"/>
      <c r="B5" s="5"/>
      <c r="C5" s="5"/>
      <c r="D5" s="5"/>
      <c r="E5" s="5"/>
      <c r="F5" s="5"/>
      <c r="G5" s="5"/>
      <c r="H5" s="5"/>
      <c r="I5" s="5"/>
      <c r="J5" s="5"/>
      <c r="K5" s="5"/>
      <c r="L5" s="5"/>
      <c r="M5" s="5"/>
      <c r="N5" s="5"/>
      <c r="O5" s="5"/>
      <c r="P5" s="6"/>
    </row>
    <row r="6" ht="12.0" customHeight="1">
      <c r="A6" s="4"/>
      <c r="B6" s="5"/>
      <c r="C6" s="5"/>
      <c r="D6" s="5"/>
      <c r="E6" s="5"/>
      <c r="F6" s="5"/>
      <c r="G6" s="5"/>
      <c r="H6" s="5"/>
      <c r="I6" s="5"/>
      <c r="J6" s="5"/>
      <c r="K6" s="5"/>
      <c r="L6" s="5"/>
      <c r="M6" s="5"/>
      <c r="N6" s="5"/>
      <c r="O6" s="5"/>
      <c r="P6" s="6"/>
    </row>
    <row r="7" ht="12.0" customHeight="1">
      <c r="A7" s="4"/>
      <c r="B7" s="5"/>
      <c r="C7" s="5"/>
      <c r="D7" s="5"/>
      <c r="E7" s="5"/>
      <c r="F7" s="5"/>
      <c r="G7" s="5"/>
      <c r="H7" s="5"/>
      <c r="I7" s="5"/>
      <c r="J7" s="5"/>
      <c r="K7" s="5"/>
      <c r="L7" s="5"/>
      <c r="M7" s="8" t="s">
        <v>0</v>
      </c>
      <c r="N7" s="5"/>
      <c r="O7" s="5"/>
      <c r="P7" s="6"/>
    </row>
    <row r="8" ht="12.0" customHeight="1">
      <c r="A8" s="4"/>
      <c r="B8" s="7" t="s">
        <v>1</v>
      </c>
      <c r="C8" s="5"/>
      <c r="D8" s="5"/>
      <c r="E8" s="5"/>
      <c r="F8" s="5"/>
      <c r="G8" s="5"/>
      <c r="H8" s="5"/>
      <c r="I8" s="5"/>
      <c r="J8" s="5"/>
      <c r="K8" s="5"/>
      <c r="L8" s="5"/>
      <c r="M8" s="5"/>
      <c r="N8" s="5"/>
      <c r="O8" s="5"/>
      <c r="P8" s="6"/>
    </row>
    <row r="9" ht="12.0" customHeight="1">
      <c r="A9" s="4"/>
      <c r="B9" s="5"/>
      <c r="C9" s="5"/>
      <c r="D9" s="5"/>
      <c r="E9" s="5"/>
      <c r="F9" s="5"/>
      <c r="G9" s="5"/>
      <c r="H9" s="5"/>
      <c r="I9" s="5"/>
      <c r="J9" s="5"/>
      <c r="K9" s="5"/>
      <c r="L9" s="5"/>
      <c r="M9" s="5"/>
      <c r="N9" s="5"/>
      <c r="O9" s="5"/>
      <c r="P9" s="6"/>
    </row>
    <row r="10" ht="12.0" customHeight="1">
      <c r="A10" s="4"/>
      <c r="B10" s="10" t="s">
        <v>2</v>
      </c>
      <c r="C10" s="5"/>
      <c r="D10" s="5"/>
      <c r="E10" s="5"/>
      <c r="F10" s="5"/>
      <c r="G10" s="5"/>
      <c r="H10" s="5"/>
      <c r="I10" s="5"/>
      <c r="J10" s="5"/>
      <c r="K10" s="5"/>
      <c r="L10" s="5"/>
      <c r="M10" s="5"/>
      <c r="N10" s="5"/>
      <c r="O10" s="5"/>
      <c r="P10" s="6"/>
    </row>
    <row r="11" ht="12.75" customHeight="1">
      <c r="A11" s="4"/>
      <c r="B11" s="10"/>
      <c r="C11" s="5"/>
      <c r="D11" s="5"/>
      <c r="E11" s="5"/>
      <c r="F11" s="5"/>
      <c r="G11" s="5"/>
      <c r="H11" s="5"/>
      <c r="I11" s="5"/>
      <c r="J11" s="5"/>
      <c r="K11" s="5"/>
      <c r="L11" s="5"/>
      <c r="M11" s="5"/>
      <c r="N11" s="5"/>
      <c r="O11" s="5"/>
      <c r="P11" s="6"/>
      <c r="Q11" s="11"/>
      <c r="R11" s="11"/>
      <c r="S11" s="11"/>
      <c r="T11" s="11"/>
      <c r="U11" s="11"/>
      <c r="V11" s="11"/>
      <c r="W11" s="11"/>
      <c r="X11" s="11"/>
      <c r="Y11" s="11"/>
      <c r="Z11" s="11"/>
    </row>
    <row r="12" ht="12.0" customHeight="1">
      <c r="A12" s="4"/>
      <c r="B12" s="12" t="s">
        <v>3</v>
      </c>
      <c r="C12" s="13"/>
      <c r="D12" s="13"/>
      <c r="E12" s="13"/>
      <c r="F12" s="5"/>
      <c r="G12" s="5"/>
      <c r="H12" s="5"/>
      <c r="I12" s="14" t="s">
        <v>4</v>
      </c>
      <c r="J12" s="5"/>
      <c r="K12" s="5"/>
      <c r="L12" s="5"/>
      <c r="M12" s="5"/>
      <c r="N12" s="5"/>
      <c r="O12" s="5"/>
      <c r="P12" s="6"/>
    </row>
    <row r="13" ht="12.0" customHeight="1">
      <c r="A13" s="4"/>
      <c r="B13" s="12" t="s">
        <v>5</v>
      </c>
      <c r="C13" s="13"/>
      <c r="D13" s="13"/>
      <c r="E13" s="13"/>
      <c r="F13" s="15" t="s">
        <v>6</v>
      </c>
      <c r="G13" s="16"/>
      <c r="H13" s="16"/>
      <c r="I13" s="16"/>
      <c r="J13" s="16"/>
      <c r="K13" s="17"/>
      <c r="L13" s="5"/>
      <c r="M13" s="5"/>
      <c r="N13" s="5"/>
      <c r="O13" s="5"/>
      <c r="P13" s="6"/>
    </row>
    <row r="14" ht="12.0" customHeight="1">
      <c r="A14" s="4"/>
      <c r="B14" s="5"/>
      <c r="C14" s="5"/>
      <c r="D14" s="5"/>
      <c r="E14" s="5"/>
      <c r="F14" s="5"/>
      <c r="G14" s="5"/>
      <c r="H14" s="5"/>
      <c r="I14" s="5"/>
      <c r="J14" s="5"/>
      <c r="K14" s="5"/>
      <c r="L14" s="5"/>
      <c r="M14" s="5"/>
      <c r="N14" s="5"/>
      <c r="O14" s="5"/>
      <c r="P14" s="6"/>
    </row>
    <row r="15" ht="12.0" customHeight="1">
      <c r="A15" s="4"/>
      <c r="B15" s="5"/>
      <c r="C15" s="14"/>
      <c r="D15" s="14"/>
      <c r="E15" s="5"/>
      <c r="F15" s="5"/>
      <c r="G15" s="5"/>
      <c r="H15" s="5"/>
      <c r="I15" s="5"/>
      <c r="J15" s="5"/>
      <c r="K15" s="5"/>
      <c r="L15" s="5"/>
      <c r="M15" s="5"/>
      <c r="N15" s="5"/>
      <c r="O15" s="5"/>
      <c r="P15" s="6"/>
    </row>
    <row r="16" ht="12.0" customHeight="1">
      <c r="A16" s="18" t="s">
        <v>7</v>
      </c>
      <c r="B16" s="19" t="s">
        <v>8</v>
      </c>
      <c r="C16" s="5"/>
      <c r="D16" s="5"/>
      <c r="E16" s="5"/>
      <c r="F16" s="5"/>
      <c r="G16" s="5"/>
      <c r="H16" s="5"/>
      <c r="I16" s="5"/>
      <c r="J16" s="5"/>
      <c r="K16" s="5"/>
      <c r="L16" s="5"/>
      <c r="M16" s="5"/>
      <c r="N16" s="5"/>
      <c r="O16" s="5"/>
      <c r="P16" s="6"/>
      <c r="Q16" s="11"/>
      <c r="R16" s="11"/>
      <c r="S16" s="11"/>
      <c r="T16" s="11"/>
      <c r="U16" s="11"/>
      <c r="V16" s="11"/>
      <c r="W16" s="11"/>
      <c r="X16" s="11"/>
      <c r="Y16" s="11"/>
      <c r="Z16" s="11"/>
    </row>
    <row r="17" ht="12.0" customHeight="1">
      <c r="A17" s="18"/>
      <c r="B17" s="19" t="s">
        <v>9</v>
      </c>
      <c r="C17" s="5"/>
      <c r="D17" s="5"/>
      <c r="E17" s="5"/>
      <c r="F17" s="5"/>
      <c r="G17" s="5"/>
      <c r="H17" s="5"/>
      <c r="I17" s="5"/>
      <c r="J17" s="5"/>
      <c r="K17" s="5"/>
      <c r="L17" s="5"/>
      <c r="M17" s="5"/>
      <c r="N17" s="5"/>
      <c r="O17" s="5"/>
      <c r="P17" s="6"/>
      <c r="Q17" s="11"/>
      <c r="R17" s="11"/>
      <c r="S17" s="11"/>
      <c r="T17" s="11"/>
      <c r="U17" s="11"/>
      <c r="V17" s="11"/>
      <c r="W17" s="11"/>
      <c r="X17" s="11"/>
      <c r="Y17" s="11"/>
      <c r="Z17" s="11"/>
    </row>
    <row r="18" ht="12.0" customHeight="1">
      <c r="A18" s="20"/>
      <c r="B18" s="5"/>
      <c r="C18" s="19" t="s">
        <v>10</v>
      </c>
      <c r="D18" s="5"/>
      <c r="E18" s="5"/>
      <c r="F18" s="5"/>
      <c r="G18" s="5"/>
      <c r="H18" s="5"/>
      <c r="I18" s="5"/>
      <c r="J18" s="5"/>
      <c r="K18" s="5"/>
      <c r="L18" s="5"/>
      <c r="M18" s="5"/>
      <c r="N18" s="5"/>
      <c r="O18" s="5"/>
      <c r="P18" s="6"/>
      <c r="Q18" s="11"/>
      <c r="R18" s="11"/>
      <c r="S18" s="11"/>
      <c r="T18" s="11"/>
      <c r="U18" s="11"/>
      <c r="V18" s="11"/>
      <c r="W18" s="11"/>
      <c r="X18" s="11"/>
      <c r="Y18" s="11"/>
      <c r="Z18" s="11"/>
    </row>
    <row r="19" ht="12.0" customHeight="1">
      <c r="A19" s="20"/>
      <c r="B19" s="19"/>
      <c r="C19" s="19" t="s">
        <v>11</v>
      </c>
      <c r="D19" s="5"/>
      <c r="E19" s="5"/>
      <c r="F19" s="5"/>
      <c r="G19" s="5"/>
      <c r="H19" s="5"/>
      <c r="I19" s="5"/>
      <c r="J19" s="5"/>
      <c r="K19" s="5"/>
      <c r="L19" s="5"/>
      <c r="M19" s="5"/>
      <c r="N19" s="5"/>
      <c r="O19" s="5"/>
      <c r="P19" s="6"/>
      <c r="Q19" s="11"/>
      <c r="R19" s="11"/>
      <c r="S19" s="11"/>
      <c r="T19" s="11"/>
      <c r="U19" s="11"/>
      <c r="V19" s="11"/>
      <c r="W19" s="11"/>
      <c r="X19" s="11"/>
      <c r="Y19" s="11"/>
      <c r="Z19" s="11"/>
    </row>
    <row r="20" ht="12.0" customHeight="1">
      <c r="A20" s="20"/>
      <c r="B20" s="19"/>
      <c r="C20" s="19" t="s">
        <v>12</v>
      </c>
      <c r="D20" s="5"/>
      <c r="E20" s="5"/>
      <c r="F20" s="5"/>
      <c r="G20" s="5"/>
      <c r="H20" s="5"/>
      <c r="I20" s="5"/>
      <c r="J20" s="5"/>
      <c r="K20" s="5"/>
      <c r="L20" s="5"/>
      <c r="M20" s="5"/>
      <c r="N20" s="5"/>
      <c r="O20" s="5"/>
      <c r="P20" s="6"/>
      <c r="Q20" s="11"/>
      <c r="R20" s="11"/>
      <c r="S20" s="11"/>
      <c r="T20" s="11"/>
      <c r="U20" s="11"/>
      <c r="V20" s="11"/>
      <c r="W20" s="11"/>
      <c r="X20" s="11"/>
      <c r="Y20" s="11"/>
      <c r="Z20" s="11"/>
    </row>
    <row r="21" ht="12.0" customHeight="1">
      <c r="A21" s="20"/>
      <c r="B21" s="19" t="s">
        <v>13</v>
      </c>
      <c r="C21" s="5"/>
      <c r="D21" s="5"/>
      <c r="E21" s="5"/>
      <c r="F21" s="5"/>
      <c r="G21" s="5"/>
      <c r="H21" s="5"/>
      <c r="I21" s="5"/>
      <c r="J21" s="5"/>
      <c r="K21" s="5"/>
      <c r="L21" s="5"/>
      <c r="M21" s="5"/>
      <c r="N21" s="5"/>
      <c r="O21" s="5"/>
      <c r="P21" s="6"/>
      <c r="Q21" s="11"/>
      <c r="R21" s="11"/>
      <c r="S21" s="11"/>
      <c r="T21" s="11"/>
      <c r="U21" s="11"/>
      <c r="V21" s="11"/>
      <c r="W21" s="11"/>
      <c r="X21" s="11"/>
      <c r="Y21" s="11"/>
      <c r="Z21" s="11"/>
    </row>
    <row r="22" ht="12.0" customHeight="1">
      <c r="A22" s="20"/>
      <c r="B22" s="19"/>
      <c r="C22" s="5"/>
      <c r="D22" s="5"/>
      <c r="E22" s="5"/>
      <c r="F22" s="5"/>
      <c r="G22" s="5"/>
      <c r="H22" s="5"/>
      <c r="I22" s="5"/>
      <c r="J22" s="5"/>
      <c r="K22" s="5"/>
      <c r="L22" s="5"/>
      <c r="M22" s="5"/>
      <c r="N22" s="5"/>
      <c r="O22" s="5"/>
      <c r="P22" s="6"/>
      <c r="Q22" s="11"/>
      <c r="R22" s="11"/>
      <c r="S22" s="11"/>
      <c r="T22" s="11"/>
      <c r="U22" s="11"/>
      <c r="V22" s="11"/>
      <c r="W22" s="11"/>
      <c r="X22" s="11"/>
      <c r="Y22" s="11"/>
      <c r="Z22" s="11"/>
    </row>
    <row r="23" ht="12.0" customHeight="1">
      <c r="A23" s="18" t="s">
        <v>14</v>
      </c>
      <c r="B23" s="19" t="s">
        <v>15</v>
      </c>
      <c r="C23" s="5"/>
      <c r="D23" s="5"/>
      <c r="E23" s="5"/>
      <c r="F23" s="5"/>
      <c r="G23" s="5"/>
      <c r="H23" s="5"/>
      <c r="I23" s="5"/>
      <c r="J23" s="5"/>
      <c r="K23" s="5"/>
      <c r="L23" s="5"/>
      <c r="M23" s="5"/>
      <c r="N23" s="5"/>
      <c r="O23" s="5"/>
      <c r="P23" s="6"/>
      <c r="Q23" s="11"/>
      <c r="R23" s="11"/>
      <c r="S23" s="11"/>
      <c r="T23" s="11"/>
      <c r="U23" s="11"/>
      <c r="V23" s="11"/>
      <c r="W23" s="11"/>
      <c r="X23" s="11"/>
      <c r="Y23" s="11"/>
      <c r="Z23" s="11"/>
    </row>
    <row r="24" ht="12.0" customHeight="1">
      <c r="A24" s="20"/>
      <c r="B24" s="19" t="s">
        <v>16</v>
      </c>
      <c r="C24" s="5"/>
      <c r="D24" s="5"/>
      <c r="E24" s="5"/>
      <c r="F24" s="5"/>
      <c r="G24" s="5"/>
      <c r="H24" s="5"/>
      <c r="I24" s="5"/>
      <c r="J24" s="5"/>
      <c r="K24" s="5"/>
      <c r="L24" s="5"/>
      <c r="M24" s="5"/>
      <c r="N24" s="5"/>
      <c r="O24" s="5"/>
      <c r="P24" s="6"/>
      <c r="Q24" s="11"/>
      <c r="R24" s="11"/>
      <c r="S24" s="11"/>
      <c r="T24" s="11"/>
      <c r="U24" s="11"/>
      <c r="V24" s="11"/>
      <c r="W24" s="11"/>
      <c r="X24" s="11"/>
      <c r="Y24" s="11"/>
      <c r="Z24" s="11"/>
    </row>
    <row r="25" ht="12.0" customHeight="1">
      <c r="A25" s="20"/>
      <c r="B25" s="19"/>
      <c r="C25" s="5"/>
      <c r="D25" s="5"/>
      <c r="E25" s="5"/>
      <c r="F25" s="5"/>
      <c r="G25" s="5"/>
      <c r="H25" s="5"/>
      <c r="I25" s="5"/>
      <c r="J25" s="5"/>
      <c r="K25" s="5"/>
      <c r="L25" s="5"/>
      <c r="M25" s="5"/>
      <c r="N25" s="5"/>
      <c r="O25" s="5"/>
      <c r="P25" s="6"/>
      <c r="Q25" s="11"/>
      <c r="R25" s="11"/>
      <c r="S25" s="11"/>
      <c r="T25" s="11"/>
      <c r="U25" s="11"/>
      <c r="V25" s="11"/>
      <c r="W25" s="11"/>
      <c r="X25" s="11"/>
      <c r="Y25" s="11"/>
      <c r="Z25" s="11"/>
    </row>
    <row r="26" ht="12.0" customHeight="1">
      <c r="A26" s="18" t="s">
        <v>17</v>
      </c>
      <c r="B26" s="19" t="s">
        <v>18</v>
      </c>
      <c r="C26" s="5"/>
      <c r="D26" s="5"/>
      <c r="E26" s="5"/>
      <c r="F26" s="5"/>
      <c r="G26" s="5"/>
      <c r="H26" s="5"/>
      <c r="I26" s="5"/>
      <c r="J26" s="5"/>
      <c r="K26" s="5"/>
      <c r="L26" s="5"/>
      <c r="M26" s="5"/>
      <c r="N26" s="5"/>
      <c r="O26" s="5"/>
      <c r="P26" s="6"/>
      <c r="Q26" s="11"/>
      <c r="R26" s="11"/>
      <c r="S26" s="11"/>
      <c r="T26" s="11"/>
      <c r="U26" s="11"/>
      <c r="V26" s="11"/>
      <c r="W26" s="11"/>
      <c r="X26" s="11"/>
      <c r="Y26" s="11"/>
      <c r="Z26" s="11"/>
    </row>
    <row r="27" ht="12.0" customHeight="1">
      <c r="A27" s="20"/>
      <c r="B27" s="19" t="s">
        <v>19</v>
      </c>
      <c r="C27" s="5"/>
      <c r="D27" s="5"/>
      <c r="E27" s="5"/>
      <c r="F27" s="5"/>
      <c r="G27" s="5"/>
      <c r="H27" s="5"/>
      <c r="I27" s="5"/>
      <c r="J27" s="5"/>
      <c r="K27" s="5"/>
      <c r="L27" s="5"/>
      <c r="M27" s="5"/>
      <c r="N27" s="5"/>
      <c r="O27" s="5"/>
      <c r="P27" s="6"/>
      <c r="Q27" s="11"/>
      <c r="R27" s="11"/>
      <c r="S27" s="11"/>
      <c r="T27" s="11"/>
      <c r="U27" s="11"/>
      <c r="V27" s="11"/>
      <c r="W27" s="11"/>
      <c r="X27" s="11"/>
      <c r="Y27" s="11"/>
      <c r="Z27" s="11"/>
    </row>
    <row r="28" ht="12.0" customHeight="1">
      <c r="A28" s="20"/>
      <c r="B28" s="19"/>
      <c r="C28" s="19" t="s">
        <v>20</v>
      </c>
      <c r="D28" s="5"/>
      <c r="E28" s="5"/>
      <c r="F28" s="5"/>
      <c r="G28" s="5"/>
      <c r="H28" s="5"/>
      <c r="I28" s="5"/>
      <c r="J28" s="5"/>
      <c r="K28" s="5"/>
      <c r="L28" s="5"/>
      <c r="M28" s="5"/>
      <c r="N28" s="5"/>
      <c r="O28" s="5"/>
      <c r="P28" s="6"/>
      <c r="Q28" s="11"/>
      <c r="R28" s="11"/>
      <c r="S28" s="11"/>
      <c r="T28" s="11"/>
      <c r="U28" s="11"/>
      <c r="V28" s="11"/>
      <c r="W28" s="11"/>
      <c r="X28" s="11"/>
      <c r="Y28" s="11"/>
      <c r="Z28" s="11"/>
    </row>
    <row r="29" ht="12.0" customHeight="1">
      <c r="A29" s="20"/>
      <c r="B29" s="5"/>
      <c r="C29" s="21" t="s">
        <v>21</v>
      </c>
      <c r="D29" s="5"/>
      <c r="E29" s="5"/>
      <c r="F29" s="5"/>
      <c r="G29" s="5"/>
      <c r="H29" s="5"/>
      <c r="I29" s="5"/>
      <c r="J29" s="5"/>
      <c r="K29" s="5"/>
      <c r="L29" s="5"/>
      <c r="M29" s="5"/>
      <c r="N29" s="5"/>
      <c r="O29" s="5"/>
      <c r="P29" s="6"/>
      <c r="Q29" s="11"/>
      <c r="R29" s="11"/>
      <c r="S29" s="11"/>
      <c r="T29" s="11"/>
      <c r="U29" s="11"/>
      <c r="V29" s="11"/>
      <c r="W29" s="11"/>
      <c r="X29" s="11"/>
      <c r="Y29" s="11"/>
      <c r="Z29" s="11"/>
    </row>
    <row r="30" ht="12.0" customHeight="1">
      <c r="A30" s="20"/>
      <c r="B30" s="19" t="s">
        <v>22</v>
      </c>
      <c r="C30" s="19"/>
      <c r="D30" s="5"/>
      <c r="E30" s="5"/>
      <c r="F30" s="5"/>
      <c r="G30" s="5"/>
      <c r="H30" s="5"/>
      <c r="I30" s="5"/>
      <c r="J30" s="5"/>
      <c r="K30" s="5"/>
      <c r="L30" s="5"/>
      <c r="M30" s="5"/>
      <c r="N30" s="5"/>
      <c r="O30" s="5"/>
      <c r="P30" s="6"/>
      <c r="Q30" s="11"/>
      <c r="R30" s="11"/>
      <c r="S30" s="11"/>
      <c r="T30" s="11"/>
      <c r="U30" s="11"/>
      <c r="V30" s="11"/>
      <c r="W30" s="11"/>
      <c r="X30" s="11"/>
      <c r="Y30" s="11"/>
      <c r="Z30" s="11"/>
    </row>
    <row r="31" ht="12.0" customHeight="1">
      <c r="A31" s="20"/>
      <c r="B31" s="5"/>
      <c r="C31" s="19" t="s">
        <v>23</v>
      </c>
      <c r="D31" s="5"/>
      <c r="E31" s="5"/>
      <c r="F31" s="5"/>
      <c r="G31" s="5"/>
      <c r="H31" s="5"/>
      <c r="I31" s="5"/>
      <c r="J31" s="5"/>
      <c r="K31" s="5"/>
      <c r="L31" s="5"/>
      <c r="M31" s="5"/>
      <c r="N31" s="5"/>
      <c r="O31" s="5"/>
      <c r="P31" s="6"/>
      <c r="Q31" s="11"/>
      <c r="R31" s="11"/>
      <c r="S31" s="11"/>
      <c r="T31" s="11"/>
      <c r="U31" s="11"/>
      <c r="V31" s="11"/>
      <c r="W31" s="11"/>
      <c r="X31" s="11"/>
      <c r="Y31" s="11"/>
      <c r="Z31" s="11"/>
    </row>
    <row r="32" ht="12.0" customHeight="1">
      <c r="A32" s="20"/>
      <c r="B32" s="5"/>
      <c r="C32" s="19" t="s">
        <v>24</v>
      </c>
      <c r="D32" s="5"/>
      <c r="E32" s="5"/>
      <c r="F32" s="5"/>
      <c r="G32" s="5"/>
      <c r="H32" s="5"/>
      <c r="I32" s="5"/>
      <c r="J32" s="5"/>
      <c r="K32" s="5"/>
      <c r="L32" s="5"/>
      <c r="M32" s="5"/>
      <c r="N32" s="5"/>
      <c r="O32" s="5"/>
      <c r="P32" s="6"/>
      <c r="Q32" s="11"/>
      <c r="R32" s="11"/>
      <c r="S32" s="11"/>
      <c r="T32" s="11"/>
      <c r="U32" s="11"/>
      <c r="V32" s="11"/>
      <c r="W32" s="11"/>
      <c r="X32" s="11"/>
      <c r="Y32" s="11"/>
      <c r="Z32" s="11"/>
    </row>
    <row r="33" ht="12.0" customHeight="1">
      <c r="A33" s="20"/>
      <c r="B33" s="19" t="s">
        <v>25</v>
      </c>
      <c r="C33" s="5"/>
      <c r="D33" s="5"/>
      <c r="E33" s="5"/>
      <c r="F33" s="5"/>
      <c r="G33" s="5"/>
      <c r="H33" s="5"/>
      <c r="I33" s="5"/>
      <c r="J33" s="5"/>
      <c r="K33" s="5"/>
      <c r="L33" s="5"/>
      <c r="M33" s="5"/>
      <c r="N33" s="5"/>
      <c r="O33" s="5"/>
      <c r="P33" s="6"/>
      <c r="Q33" s="11"/>
      <c r="R33" s="11"/>
      <c r="S33" s="11"/>
      <c r="T33" s="11"/>
      <c r="U33" s="11"/>
      <c r="V33" s="11"/>
      <c r="W33" s="11"/>
      <c r="X33" s="11"/>
      <c r="Y33" s="11"/>
      <c r="Z33" s="11"/>
    </row>
    <row r="34" ht="12.0" customHeight="1">
      <c r="A34" s="20"/>
      <c r="B34" s="19" t="s">
        <v>26</v>
      </c>
      <c r="C34" s="5"/>
      <c r="D34" s="5"/>
      <c r="E34" s="5"/>
      <c r="F34" s="5"/>
      <c r="G34" s="5"/>
      <c r="H34" s="5"/>
      <c r="I34" s="5"/>
      <c r="J34" s="5"/>
      <c r="K34" s="5"/>
      <c r="L34" s="5"/>
      <c r="M34" s="5"/>
      <c r="N34" s="5"/>
      <c r="O34" s="5"/>
      <c r="P34" s="6"/>
      <c r="Q34" s="11"/>
      <c r="R34" s="11"/>
      <c r="S34" s="11"/>
      <c r="T34" s="11"/>
      <c r="U34" s="11"/>
      <c r="V34" s="11"/>
      <c r="W34" s="11"/>
      <c r="X34" s="11"/>
      <c r="Y34" s="11"/>
      <c r="Z34" s="11"/>
    </row>
    <row r="35" ht="12.0" customHeight="1">
      <c r="A35" s="20"/>
      <c r="B35" s="19"/>
      <c r="C35" s="5"/>
      <c r="D35" s="5"/>
      <c r="E35" s="5"/>
      <c r="F35" s="5"/>
      <c r="G35" s="5"/>
      <c r="H35" s="5"/>
      <c r="I35" s="5"/>
      <c r="J35" s="5"/>
      <c r="K35" s="5"/>
      <c r="L35" s="5"/>
      <c r="M35" s="5"/>
      <c r="N35" s="5"/>
      <c r="O35" s="5"/>
      <c r="P35" s="6"/>
      <c r="Q35" s="11"/>
      <c r="R35" s="11"/>
      <c r="S35" s="11"/>
      <c r="T35" s="11"/>
      <c r="U35" s="11"/>
      <c r="V35" s="11"/>
      <c r="W35" s="11"/>
      <c r="X35" s="11"/>
      <c r="Y35" s="11"/>
      <c r="Z35" s="11"/>
    </row>
    <row r="36" ht="12.0" customHeight="1">
      <c r="A36" s="18" t="s">
        <v>27</v>
      </c>
      <c r="B36" s="19" t="s">
        <v>28</v>
      </c>
      <c r="C36" s="5"/>
      <c r="D36" s="5"/>
      <c r="E36" s="5"/>
      <c r="F36" s="5"/>
      <c r="G36" s="5"/>
      <c r="H36" s="5"/>
      <c r="I36" s="5"/>
      <c r="J36" s="5"/>
      <c r="K36" s="5"/>
      <c r="L36" s="5"/>
      <c r="M36" s="5"/>
      <c r="N36" s="5"/>
      <c r="O36" s="5"/>
      <c r="P36" s="6"/>
      <c r="Q36" s="11"/>
      <c r="R36" s="11"/>
      <c r="S36" s="11"/>
      <c r="T36" s="11"/>
      <c r="U36" s="11"/>
      <c r="V36" s="11"/>
      <c r="W36" s="11"/>
      <c r="X36" s="11"/>
      <c r="Y36" s="11"/>
      <c r="Z36" s="11"/>
    </row>
    <row r="37" ht="12.0" customHeight="1">
      <c r="A37" s="20"/>
      <c r="B37" s="19" t="s">
        <v>29</v>
      </c>
      <c r="C37" s="5"/>
      <c r="D37" s="5"/>
      <c r="E37" s="5"/>
      <c r="F37" s="5"/>
      <c r="G37" s="5"/>
      <c r="H37" s="5"/>
      <c r="I37" s="5"/>
      <c r="J37" s="5"/>
      <c r="K37" s="5"/>
      <c r="L37" s="5"/>
      <c r="M37" s="5"/>
      <c r="N37" s="5"/>
      <c r="O37" s="5"/>
      <c r="P37" s="6"/>
      <c r="Q37" s="11"/>
      <c r="R37" s="11"/>
      <c r="S37" s="11"/>
      <c r="T37" s="11"/>
      <c r="U37" s="11"/>
      <c r="V37" s="11"/>
      <c r="W37" s="11"/>
      <c r="X37" s="11"/>
      <c r="Y37" s="11"/>
      <c r="Z37" s="11"/>
    </row>
    <row r="38" ht="12.0" customHeight="1">
      <c r="A38" s="20"/>
      <c r="B38" s="19" t="s">
        <v>30</v>
      </c>
      <c r="C38" s="5"/>
      <c r="D38" s="5"/>
      <c r="E38" s="5"/>
      <c r="F38" s="5"/>
      <c r="G38" s="5"/>
      <c r="H38" s="5"/>
      <c r="I38" s="5"/>
      <c r="J38" s="5"/>
      <c r="K38" s="5"/>
      <c r="L38" s="5"/>
      <c r="M38" s="5"/>
      <c r="N38" s="5"/>
      <c r="O38" s="5"/>
      <c r="P38" s="6"/>
    </row>
    <row r="39" ht="12.0" customHeight="1">
      <c r="A39" s="20"/>
      <c r="B39" s="19"/>
      <c r="C39" s="5"/>
      <c r="D39" s="5"/>
      <c r="E39" s="5"/>
      <c r="F39" s="5"/>
      <c r="G39" s="5"/>
      <c r="H39" s="5"/>
      <c r="I39" s="5"/>
      <c r="J39" s="5"/>
      <c r="K39" s="5"/>
      <c r="L39" s="5"/>
      <c r="M39" s="5"/>
      <c r="N39" s="5"/>
      <c r="O39" s="5"/>
      <c r="P39" s="6"/>
    </row>
    <row r="40" ht="12.0" customHeight="1">
      <c r="A40" s="18" t="s">
        <v>31</v>
      </c>
      <c r="B40" s="19" t="s">
        <v>32</v>
      </c>
      <c r="C40" s="5"/>
      <c r="D40" s="5"/>
      <c r="E40" s="5"/>
      <c r="F40" s="5"/>
      <c r="G40" s="5"/>
      <c r="H40" s="5"/>
      <c r="I40" s="5"/>
      <c r="J40" s="5"/>
      <c r="K40" s="5"/>
      <c r="L40" s="5"/>
      <c r="M40" s="5"/>
      <c r="N40" s="5"/>
      <c r="O40" s="5"/>
      <c r="P40" s="6"/>
    </row>
    <row r="41" ht="12.0" customHeight="1">
      <c r="A41" s="22"/>
      <c r="B41" s="19" t="s">
        <v>33</v>
      </c>
      <c r="C41" s="5"/>
      <c r="D41" s="5"/>
      <c r="E41" s="5"/>
      <c r="F41" s="5"/>
      <c r="G41" s="5"/>
      <c r="H41" s="5"/>
      <c r="I41" s="5"/>
      <c r="J41" s="5"/>
      <c r="K41" s="5"/>
      <c r="L41" s="5"/>
      <c r="M41" s="5"/>
      <c r="N41" s="5"/>
      <c r="O41" s="5"/>
      <c r="P41" s="6"/>
    </row>
    <row r="42" ht="12.0" customHeight="1">
      <c r="A42" s="22"/>
      <c r="B42" s="19" t="s">
        <v>34</v>
      </c>
      <c r="C42" s="5"/>
      <c r="D42" s="5"/>
      <c r="E42" s="5"/>
      <c r="F42" s="5"/>
      <c r="G42" s="5"/>
      <c r="H42" s="5"/>
      <c r="I42" s="5"/>
      <c r="J42" s="5"/>
      <c r="K42" s="5"/>
      <c r="L42" s="5"/>
      <c r="M42" s="5"/>
      <c r="N42" s="5"/>
      <c r="O42" s="5"/>
      <c r="P42" s="6"/>
    </row>
    <row r="43" ht="12.0" customHeight="1">
      <c r="A43" s="22"/>
      <c r="B43" s="19"/>
      <c r="C43" s="5"/>
      <c r="D43" s="5"/>
      <c r="E43" s="5"/>
      <c r="F43" s="5"/>
      <c r="G43" s="5"/>
      <c r="H43" s="5"/>
      <c r="I43" s="5"/>
      <c r="J43" s="5"/>
      <c r="K43" s="5"/>
      <c r="L43" s="5"/>
      <c r="M43" s="5"/>
      <c r="N43" s="5"/>
      <c r="O43" s="5"/>
      <c r="P43" s="6"/>
    </row>
    <row r="44" ht="12.0" customHeight="1">
      <c r="A44" s="18" t="s">
        <v>35</v>
      </c>
      <c r="B44" s="19" t="s">
        <v>36</v>
      </c>
      <c r="C44" s="5"/>
      <c r="D44" s="5"/>
      <c r="E44" s="5"/>
      <c r="F44" s="5"/>
      <c r="G44" s="5"/>
      <c r="H44" s="5"/>
      <c r="I44" s="5"/>
      <c r="J44" s="5"/>
      <c r="K44" s="5"/>
      <c r="L44" s="5"/>
      <c r="M44" s="5"/>
      <c r="N44" s="5"/>
      <c r="O44" s="5"/>
      <c r="P44" s="6"/>
    </row>
    <row r="45" ht="12.0" customHeight="1">
      <c r="A45" s="20"/>
      <c r="B45" s="19"/>
      <c r="C45" s="5"/>
      <c r="D45" s="5"/>
      <c r="E45" s="5"/>
      <c r="F45" s="5"/>
      <c r="G45" s="5"/>
      <c r="H45" s="5"/>
      <c r="I45" s="5"/>
      <c r="J45" s="5"/>
      <c r="K45" s="5"/>
      <c r="L45" s="5"/>
      <c r="M45" s="5"/>
      <c r="N45" s="5"/>
      <c r="O45" s="5"/>
      <c r="P45" s="6"/>
    </row>
    <row r="46" ht="12.0" customHeight="1">
      <c r="A46" s="20"/>
      <c r="B46" s="19" t="s">
        <v>37</v>
      </c>
      <c r="C46" s="5"/>
      <c r="D46" s="5"/>
      <c r="E46" s="5"/>
      <c r="F46" s="5"/>
      <c r="G46" s="5"/>
      <c r="H46" s="5"/>
      <c r="I46" s="5"/>
      <c r="J46" s="5"/>
      <c r="K46" s="5"/>
      <c r="L46" s="5"/>
      <c r="M46" s="5"/>
      <c r="N46" s="5"/>
      <c r="O46" s="5"/>
      <c r="P46" s="6"/>
    </row>
    <row r="47" ht="12.0" customHeight="1">
      <c r="A47" s="20"/>
      <c r="B47" s="19"/>
      <c r="C47" s="5"/>
      <c r="D47" s="5"/>
      <c r="E47" s="5"/>
      <c r="F47" s="5"/>
      <c r="G47" s="5"/>
      <c r="H47" s="5"/>
      <c r="I47" s="5"/>
      <c r="J47" s="5"/>
      <c r="K47" s="5"/>
      <c r="L47" s="5"/>
      <c r="M47" s="5"/>
      <c r="N47" s="5"/>
      <c r="O47" s="5"/>
      <c r="P47" s="6"/>
      <c r="Q47" s="11"/>
      <c r="R47" s="11"/>
      <c r="S47" s="11"/>
      <c r="T47" s="11"/>
      <c r="U47" s="11"/>
      <c r="V47" s="11"/>
      <c r="W47" s="11"/>
      <c r="X47" s="11"/>
      <c r="Y47" s="11"/>
      <c r="Z47" s="11"/>
    </row>
    <row r="48" ht="12.0" customHeight="1">
      <c r="A48" s="4"/>
      <c r="B48" s="10" t="s">
        <v>38</v>
      </c>
      <c r="C48" s="5"/>
      <c r="D48" s="5"/>
      <c r="E48" s="5"/>
      <c r="F48" s="5"/>
      <c r="G48" s="5"/>
      <c r="H48" s="5"/>
      <c r="I48" s="5"/>
      <c r="J48" s="5"/>
      <c r="K48" s="5"/>
      <c r="L48" s="5"/>
      <c r="M48" s="5"/>
      <c r="N48" s="5"/>
      <c r="O48" s="5"/>
      <c r="P48" s="6"/>
      <c r="Q48" s="11"/>
      <c r="R48" s="11"/>
      <c r="S48" s="11"/>
      <c r="T48" s="11"/>
      <c r="U48" s="11"/>
      <c r="V48" s="11"/>
      <c r="W48" s="11"/>
      <c r="X48" s="11"/>
      <c r="Y48" s="11"/>
      <c r="Z48" s="11"/>
    </row>
    <row r="49" ht="12.0" customHeight="1">
      <c r="A49" s="4"/>
      <c r="B49" s="5" t="s">
        <v>39</v>
      </c>
      <c r="C49" s="5"/>
      <c r="D49" s="5"/>
      <c r="E49" s="5"/>
      <c r="F49" s="5"/>
      <c r="G49" s="5"/>
      <c r="H49" s="5"/>
      <c r="I49" s="5"/>
      <c r="J49" s="5"/>
      <c r="K49" s="5"/>
      <c r="L49" s="5"/>
      <c r="M49" s="5"/>
      <c r="N49" s="5"/>
      <c r="O49" s="5"/>
      <c r="P49" s="6"/>
      <c r="Q49" s="11"/>
      <c r="R49" s="11"/>
      <c r="S49" s="11"/>
      <c r="T49" s="11"/>
      <c r="U49" s="11"/>
      <c r="V49" s="11"/>
      <c r="W49" s="11"/>
      <c r="X49" s="11"/>
      <c r="Y49" s="11"/>
      <c r="Z49" s="11"/>
    </row>
    <row r="50" ht="12.0" customHeight="1">
      <c r="A50" s="4"/>
      <c r="B50" s="5" t="s">
        <v>40</v>
      </c>
      <c r="C50" s="5"/>
      <c r="D50" s="5"/>
      <c r="E50" s="5"/>
      <c r="F50" s="5"/>
      <c r="G50" s="5"/>
      <c r="H50" s="5"/>
      <c r="I50" s="5"/>
      <c r="J50" s="5"/>
      <c r="K50" s="5"/>
      <c r="L50" s="5"/>
      <c r="M50" s="5"/>
      <c r="N50" s="5"/>
      <c r="O50" s="5"/>
      <c r="P50" s="6"/>
      <c r="Q50" s="11"/>
      <c r="R50" s="11"/>
      <c r="S50" s="11"/>
      <c r="T50" s="11"/>
      <c r="U50" s="11"/>
      <c r="V50" s="11"/>
      <c r="W50" s="11"/>
      <c r="X50" s="11"/>
      <c r="Y50" s="11"/>
      <c r="Z50" s="11"/>
    </row>
    <row r="51" ht="12.0" customHeight="1">
      <c r="A51" s="4"/>
      <c r="B51" s="5"/>
      <c r="C51" s="5"/>
      <c r="D51" s="5"/>
      <c r="E51" s="5"/>
      <c r="F51" s="5"/>
      <c r="G51" s="5"/>
      <c r="H51" s="5"/>
      <c r="I51" s="5"/>
      <c r="J51" s="5"/>
      <c r="K51" s="5"/>
      <c r="L51" s="5"/>
      <c r="M51" s="5"/>
      <c r="N51" s="5"/>
      <c r="O51" s="5"/>
      <c r="P51" s="6"/>
    </row>
    <row r="52" ht="12.0" customHeight="1">
      <c r="A52" s="4"/>
      <c r="B52" s="5" t="s">
        <v>41</v>
      </c>
      <c r="C52" s="5"/>
      <c r="D52" s="5"/>
      <c r="E52" s="5"/>
      <c r="F52" s="5"/>
      <c r="G52" s="5"/>
      <c r="H52" s="5"/>
      <c r="I52" s="5"/>
      <c r="J52" s="5"/>
      <c r="K52" s="5"/>
      <c r="L52" s="5"/>
      <c r="M52" s="5"/>
      <c r="N52" s="5"/>
      <c r="O52" s="5"/>
      <c r="P52" s="6"/>
    </row>
    <row r="53" ht="12.0" customHeight="1">
      <c r="A53" s="4"/>
      <c r="B53" s="5"/>
      <c r="C53" s="5"/>
      <c r="D53" s="5"/>
      <c r="E53" s="5"/>
      <c r="F53" s="5"/>
      <c r="G53" s="5"/>
      <c r="H53" s="5"/>
      <c r="I53" s="5"/>
      <c r="J53" s="5"/>
      <c r="K53" s="5"/>
      <c r="L53" s="5"/>
      <c r="M53" s="5"/>
      <c r="N53" s="5"/>
      <c r="O53" s="5"/>
      <c r="P53" s="6"/>
    </row>
    <row r="54" ht="12.0" customHeight="1">
      <c r="A54" s="4"/>
      <c r="B54" s="5" t="s">
        <v>42</v>
      </c>
      <c r="C54" s="5"/>
      <c r="D54" s="5"/>
      <c r="E54" s="5"/>
      <c r="F54" s="5"/>
      <c r="G54" s="5"/>
      <c r="H54" s="5"/>
      <c r="I54" s="5"/>
      <c r="J54" s="5"/>
      <c r="K54" s="5"/>
      <c r="L54" s="5"/>
      <c r="M54" s="5"/>
      <c r="N54" s="5"/>
      <c r="O54" s="5"/>
      <c r="P54" s="6"/>
    </row>
    <row r="55" ht="12.0" customHeight="1">
      <c r="A55" s="4"/>
      <c r="B55" s="5"/>
      <c r="C55" s="5"/>
      <c r="D55" s="5"/>
      <c r="E55" s="5"/>
      <c r="F55" s="5"/>
      <c r="G55" s="5"/>
      <c r="H55" s="5"/>
      <c r="I55" s="5"/>
      <c r="J55" s="5"/>
      <c r="K55" s="5"/>
      <c r="L55" s="5"/>
      <c r="M55" s="5"/>
      <c r="N55" s="5"/>
      <c r="O55" s="5"/>
      <c r="P55" s="6"/>
    </row>
    <row r="56" ht="12.0" customHeight="1">
      <c r="A56" s="4"/>
      <c r="B56" s="5"/>
      <c r="C56" s="5"/>
      <c r="D56" s="5"/>
      <c r="E56" s="5"/>
      <c r="F56" s="5"/>
      <c r="G56" s="5"/>
      <c r="H56" s="5"/>
      <c r="I56" s="5"/>
      <c r="J56" s="5"/>
      <c r="K56" s="5"/>
      <c r="L56" s="5"/>
      <c r="M56" s="5"/>
      <c r="N56" s="5"/>
      <c r="O56" s="5"/>
      <c r="P56" s="6"/>
    </row>
    <row r="57" ht="12.0" customHeight="1">
      <c r="A57" s="4"/>
      <c r="B57" s="23" t="s">
        <v>43</v>
      </c>
      <c r="C57" s="24"/>
      <c r="D57" s="24"/>
      <c r="E57" s="24"/>
      <c r="F57" s="24"/>
      <c r="G57" s="24"/>
      <c r="H57" s="24"/>
      <c r="I57" s="24"/>
      <c r="J57" s="24"/>
      <c r="K57" s="24"/>
      <c r="L57" s="24"/>
      <c r="M57" s="25"/>
      <c r="N57" s="5"/>
      <c r="O57" s="5"/>
      <c r="P57" s="6"/>
    </row>
    <row r="58" ht="12.0" customHeight="1">
      <c r="A58" s="4"/>
      <c r="B58" s="26"/>
      <c r="M58" s="27"/>
      <c r="N58" s="5"/>
      <c r="O58" s="5"/>
      <c r="P58" s="6"/>
    </row>
    <row r="59" ht="12.0" customHeight="1">
      <c r="A59" s="4"/>
      <c r="B59" s="26"/>
      <c r="M59" s="27"/>
      <c r="N59" s="5"/>
      <c r="O59" s="5"/>
      <c r="P59" s="6"/>
    </row>
    <row r="60" ht="12.0" customHeight="1">
      <c r="A60" s="4"/>
      <c r="B60" s="26"/>
      <c r="M60" s="27"/>
      <c r="N60" s="5"/>
      <c r="O60" s="5"/>
      <c r="P60" s="6"/>
    </row>
    <row r="61" ht="12.0" customHeight="1">
      <c r="A61" s="4"/>
      <c r="B61" s="26"/>
      <c r="M61" s="27"/>
      <c r="N61" s="5"/>
      <c r="O61" s="5"/>
      <c r="P61" s="6"/>
    </row>
    <row r="62" ht="12.0" customHeight="1">
      <c r="A62" s="4"/>
      <c r="B62" s="26"/>
      <c r="M62" s="27"/>
      <c r="N62" s="5"/>
      <c r="O62" s="5"/>
      <c r="P62" s="6"/>
    </row>
    <row r="63" ht="12.0" customHeight="1">
      <c r="A63" s="4"/>
      <c r="B63" s="26"/>
      <c r="M63" s="27"/>
      <c r="N63" s="5"/>
      <c r="O63" s="5"/>
      <c r="P63" s="6"/>
    </row>
    <row r="64" ht="12.0" customHeight="1">
      <c r="A64" s="4"/>
      <c r="B64" s="26"/>
      <c r="M64" s="27"/>
      <c r="N64" s="5"/>
      <c r="O64" s="5"/>
      <c r="P64" s="6"/>
    </row>
    <row r="65" ht="12.0" customHeight="1">
      <c r="A65" s="4"/>
      <c r="B65" s="26"/>
      <c r="M65" s="27"/>
      <c r="N65" s="5"/>
      <c r="O65" s="5"/>
      <c r="P65" s="6"/>
    </row>
    <row r="66" ht="12.0" customHeight="1">
      <c r="A66" s="4"/>
      <c r="B66" s="26"/>
      <c r="M66" s="27"/>
      <c r="N66" s="5"/>
      <c r="O66" s="5"/>
      <c r="P66" s="6"/>
    </row>
    <row r="67" ht="12.0" customHeight="1">
      <c r="A67" s="4"/>
      <c r="B67" s="26"/>
      <c r="M67" s="27"/>
      <c r="N67" s="5"/>
      <c r="O67" s="5"/>
      <c r="P67" s="6"/>
    </row>
    <row r="68" ht="12.0" customHeight="1">
      <c r="A68" s="4"/>
      <c r="B68" s="26"/>
      <c r="M68" s="27"/>
      <c r="N68" s="5"/>
      <c r="O68" s="5"/>
      <c r="P68" s="6"/>
    </row>
    <row r="69" ht="12.0" customHeight="1">
      <c r="A69" s="4"/>
      <c r="B69" s="26"/>
      <c r="M69" s="27"/>
      <c r="N69" s="5"/>
      <c r="O69" s="5"/>
      <c r="P69" s="6"/>
    </row>
    <row r="70" ht="12.0" customHeight="1">
      <c r="A70" s="4"/>
      <c r="B70" s="26"/>
      <c r="M70" s="27"/>
      <c r="N70" s="5"/>
      <c r="O70" s="5"/>
      <c r="P70" s="6"/>
    </row>
    <row r="71" ht="12.0" customHeight="1">
      <c r="A71" s="4"/>
      <c r="B71" s="26"/>
      <c r="M71" s="27"/>
      <c r="N71" s="5"/>
      <c r="O71" s="5"/>
      <c r="P71" s="6"/>
    </row>
    <row r="72" ht="12.0" customHeight="1">
      <c r="A72" s="4"/>
      <c r="B72" s="26"/>
      <c r="M72" s="27"/>
      <c r="N72" s="5"/>
      <c r="O72" s="5"/>
      <c r="P72" s="6"/>
    </row>
    <row r="73" ht="12.0" customHeight="1">
      <c r="A73" s="4"/>
      <c r="B73" s="26"/>
      <c r="M73" s="27"/>
      <c r="N73" s="5"/>
      <c r="O73" s="5"/>
      <c r="P73" s="6"/>
    </row>
    <row r="74" ht="12.0" customHeight="1">
      <c r="A74" s="4"/>
      <c r="B74" s="26"/>
      <c r="M74" s="27"/>
      <c r="N74" s="5"/>
      <c r="O74" s="5"/>
      <c r="P74" s="6"/>
    </row>
    <row r="75" ht="12.0" customHeight="1">
      <c r="A75" s="4"/>
      <c r="B75" s="26"/>
      <c r="M75" s="27"/>
      <c r="N75" s="5"/>
      <c r="O75" s="5"/>
      <c r="P75" s="6"/>
    </row>
    <row r="76" ht="12.0" customHeight="1">
      <c r="A76" s="4"/>
      <c r="B76" s="26"/>
      <c r="M76" s="27"/>
      <c r="N76" s="5"/>
      <c r="O76" s="5"/>
      <c r="P76" s="6"/>
    </row>
    <row r="77" ht="12.0" customHeight="1">
      <c r="A77" s="4"/>
      <c r="B77" s="26"/>
      <c r="M77" s="27"/>
      <c r="N77" s="5"/>
      <c r="O77" s="5"/>
      <c r="P77" s="6"/>
    </row>
    <row r="78" ht="12.0" customHeight="1">
      <c r="A78" s="4"/>
      <c r="B78" s="26"/>
      <c r="M78" s="27"/>
      <c r="N78" s="5"/>
      <c r="O78" s="5"/>
      <c r="P78" s="6"/>
    </row>
    <row r="79" ht="12.0" customHeight="1">
      <c r="A79" s="4"/>
      <c r="B79" s="26"/>
      <c r="M79" s="27"/>
      <c r="N79" s="5"/>
      <c r="O79" s="5"/>
      <c r="P79" s="6"/>
    </row>
    <row r="80" ht="12.0" customHeight="1">
      <c r="A80" s="4"/>
      <c r="B80" s="26"/>
      <c r="M80" s="27"/>
      <c r="N80" s="5"/>
      <c r="O80" s="5"/>
      <c r="P80" s="6"/>
    </row>
    <row r="81" ht="12.0" customHeight="1">
      <c r="A81" s="4"/>
      <c r="B81" s="26"/>
      <c r="M81" s="27"/>
      <c r="N81" s="5"/>
      <c r="O81" s="5"/>
      <c r="P81" s="6"/>
    </row>
    <row r="82" ht="12.0" customHeight="1">
      <c r="A82" s="4"/>
      <c r="B82" s="26"/>
      <c r="M82" s="27"/>
      <c r="N82" s="5"/>
      <c r="O82" s="5"/>
      <c r="P82" s="6"/>
    </row>
    <row r="83" ht="12.0" customHeight="1">
      <c r="A83" s="4"/>
      <c r="B83" s="26"/>
      <c r="M83" s="27"/>
      <c r="N83" s="5"/>
      <c r="O83" s="5"/>
      <c r="P83" s="6"/>
    </row>
    <row r="84" ht="12.0" customHeight="1">
      <c r="A84" s="4"/>
      <c r="B84" s="26"/>
      <c r="M84" s="27"/>
      <c r="N84" s="5"/>
      <c r="O84" s="5"/>
      <c r="P84" s="6"/>
    </row>
    <row r="85" ht="12.0" customHeight="1">
      <c r="A85" s="4"/>
      <c r="B85" s="26"/>
      <c r="M85" s="27"/>
      <c r="N85" s="5"/>
      <c r="O85" s="5"/>
      <c r="P85" s="6"/>
    </row>
    <row r="86" ht="12.0" customHeight="1">
      <c r="A86" s="4"/>
      <c r="B86" s="26"/>
      <c r="M86" s="27"/>
      <c r="N86" s="5"/>
      <c r="O86" s="5"/>
      <c r="P86" s="6"/>
    </row>
    <row r="87" ht="12.0" customHeight="1">
      <c r="A87" s="4"/>
      <c r="B87" s="26"/>
      <c r="M87" s="27"/>
      <c r="N87" s="5"/>
      <c r="O87" s="5"/>
      <c r="P87" s="6"/>
    </row>
    <row r="88" ht="12.0" customHeight="1">
      <c r="A88" s="4"/>
      <c r="B88" s="26"/>
      <c r="M88" s="27"/>
      <c r="N88" s="5"/>
      <c r="O88" s="5"/>
      <c r="P88" s="6"/>
    </row>
    <row r="89" ht="12.0" customHeight="1">
      <c r="A89" s="4"/>
      <c r="B89" s="26"/>
      <c r="M89" s="27"/>
      <c r="N89" s="5"/>
      <c r="O89" s="5"/>
      <c r="P89" s="6"/>
    </row>
    <row r="90" ht="12.0" customHeight="1">
      <c r="A90" s="4"/>
      <c r="B90" s="26"/>
      <c r="M90" s="27"/>
      <c r="N90" s="5"/>
      <c r="O90" s="5"/>
      <c r="P90" s="6"/>
    </row>
    <row r="91" ht="12.0" customHeight="1">
      <c r="A91" s="4"/>
      <c r="B91" s="26"/>
      <c r="M91" s="27"/>
      <c r="N91" s="5"/>
      <c r="O91" s="5"/>
      <c r="P91" s="6"/>
    </row>
    <row r="92" ht="12.0" customHeight="1">
      <c r="A92" s="4"/>
      <c r="B92" s="26"/>
      <c r="M92" s="27"/>
      <c r="N92" s="5"/>
      <c r="O92" s="5"/>
      <c r="P92" s="6"/>
    </row>
    <row r="93" ht="12.0" customHeight="1">
      <c r="A93" s="4"/>
      <c r="B93" s="26"/>
      <c r="M93" s="27"/>
      <c r="N93" s="5"/>
      <c r="O93" s="5"/>
      <c r="P93" s="6"/>
    </row>
    <row r="94" ht="12.0" customHeight="1">
      <c r="A94" s="4"/>
      <c r="B94" s="26"/>
      <c r="M94" s="27"/>
      <c r="N94" s="5"/>
      <c r="O94" s="5"/>
      <c r="P94" s="6"/>
    </row>
    <row r="95" ht="12.0" customHeight="1">
      <c r="A95" s="4"/>
      <c r="B95" s="26"/>
      <c r="M95" s="27"/>
      <c r="N95" s="5"/>
      <c r="O95" s="5"/>
      <c r="P95" s="6"/>
    </row>
    <row r="96" ht="12.0" customHeight="1">
      <c r="A96" s="4"/>
      <c r="B96" s="26"/>
      <c r="M96" s="27"/>
      <c r="N96" s="5"/>
      <c r="O96" s="5"/>
      <c r="P96" s="6"/>
    </row>
    <row r="97" ht="12.0" customHeight="1">
      <c r="A97" s="4"/>
      <c r="B97" s="26"/>
      <c r="M97" s="27"/>
      <c r="N97" s="5"/>
      <c r="O97" s="5"/>
      <c r="P97" s="6"/>
    </row>
    <row r="98" ht="12.0" customHeight="1">
      <c r="A98" s="4"/>
      <c r="B98" s="26"/>
      <c r="M98" s="27"/>
      <c r="N98" s="5"/>
      <c r="O98" s="5"/>
      <c r="P98" s="6"/>
    </row>
    <row r="99" ht="12.0" customHeight="1">
      <c r="A99" s="4"/>
      <c r="B99" s="26"/>
      <c r="M99" s="27"/>
      <c r="N99" s="5"/>
      <c r="O99" s="5"/>
      <c r="P99" s="6"/>
    </row>
    <row r="100" ht="12.0" customHeight="1">
      <c r="A100" s="4"/>
      <c r="B100" s="26"/>
      <c r="M100" s="27"/>
      <c r="N100" s="5"/>
      <c r="O100" s="5"/>
      <c r="P100" s="6"/>
    </row>
    <row r="101" ht="12.0" customHeight="1">
      <c r="A101" s="4"/>
      <c r="B101" s="26"/>
      <c r="M101" s="27"/>
      <c r="N101" s="5"/>
      <c r="O101" s="5"/>
      <c r="P101" s="6"/>
    </row>
    <row r="102" ht="12.0" customHeight="1">
      <c r="A102" s="4"/>
      <c r="B102" s="26"/>
      <c r="M102" s="27"/>
      <c r="N102" s="5"/>
      <c r="O102" s="5"/>
      <c r="P102" s="6"/>
    </row>
    <row r="103" ht="12.0" customHeight="1">
      <c r="A103" s="4"/>
      <c r="B103" s="26"/>
      <c r="M103" s="27"/>
      <c r="N103" s="5"/>
      <c r="O103" s="5"/>
      <c r="P103" s="6"/>
    </row>
    <row r="104" ht="12.0" customHeight="1">
      <c r="A104" s="4"/>
      <c r="B104" s="26"/>
      <c r="M104" s="27"/>
      <c r="N104" s="5"/>
      <c r="O104" s="5"/>
      <c r="P104" s="6"/>
    </row>
    <row r="105" ht="12.0" customHeight="1">
      <c r="A105" s="4"/>
      <c r="B105" s="26"/>
      <c r="M105" s="27"/>
      <c r="N105" s="5"/>
      <c r="O105" s="5"/>
      <c r="P105" s="6"/>
    </row>
    <row r="106" ht="12.0" customHeight="1">
      <c r="A106" s="4"/>
      <c r="B106" s="26"/>
      <c r="M106" s="27"/>
      <c r="N106" s="5"/>
      <c r="O106" s="5"/>
      <c r="P106" s="6"/>
    </row>
    <row r="107" ht="12.0" customHeight="1">
      <c r="A107" s="4"/>
      <c r="B107" s="26"/>
      <c r="M107" s="27"/>
      <c r="N107" s="5"/>
      <c r="O107" s="5"/>
      <c r="P107" s="6"/>
    </row>
    <row r="108" ht="12.0" customHeight="1">
      <c r="A108" s="4"/>
      <c r="B108" s="26"/>
      <c r="M108" s="27"/>
      <c r="N108" s="5"/>
      <c r="O108" s="5"/>
      <c r="P108" s="6"/>
    </row>
    <row r="109" ht="12.0" customHeight="1">
      <c r="A109" s="4"/>
      <c r="B109" s="26"/>
      <c r="M109" s="27"/>
      <c r="N109" s="5"/>
      <c r="O109" s="5"/>
      <c r="P109" s="6"/>
    </row>
    <row r="110" ht="12.0" customHeight="1">
      <c r="A110" s="4"/>
      <c r="B110" s="26"/>
      <c r="M110" s="27"/>
      <c r="N110" s="5"/>
      <c r="O110" s="5"/>
      <c r="P110" s="6"/>
    </row>
    <row r="111" ht="12.0" customHeight="1">
      <c r="A111" s="4"/>
      <c r="B111" s="26"/>
      <c r="M111" s="27"/>
      <c r="N111" s="5"/>
      <c r="O111" s="5"/>
      <c r="P111" s="6"/>
    </row>
    <row r="112" ht="12.0" customHeight="1">
      <c r="A112" s="4"/>
      <c r="B112" s="26"/>
      <c r="M112" s="27"/>
      <c r="N112" s="5"/>
      <c r="O112" s="5"/>
      <c r="P112" s="6"/>
    </row>
    <row r="113" ht="12.0" customHeight="1">
      <c r="A113" s="4"/>
      <c r="B113" s="26"/>
      <c r="M113" s="27"/>
      <c r="N113" s="5"/>
      <c r="O113" s="5"/>
      <c r="P113" s="6"/>
    </row>
    <row r="114" ht="12.0" customHeight="1">
      <c r="A114" s="4"/>
      <c r="B114" s="26"/>
      <c r="M114" s="27"/>
      <c r="N114" s="5"/>
      <c r="O114" s="5"/>
      <c r="P114" s="6"/>
    </row>
    <row r="115" ht="12.0" customHeight="1">
      <c r="A115" s="4"/>
      <c r="B115" s="26"/>
      <c r="M115" s="27"/>
      <c r="N115" s="5"/>
      <c r="O115" s="5"/>
      <c r="P115" s="6"/>
    </row>
    <row r="116" ht="12.0" customHeight="1">
      <c r="A116" s="4"/>
      <c r="B116" s="26"/>
      <c r="M116" s="27"/>
      <c r="N116" s="5"/>
      <c r="O116" s="5"/>
      <c r="P116" s="6"/>
    </row>
    <row r="117" ht="12.0" customHeight="1">
      <c r="A117" s="4"/>
      <c r="B117" s="26"/>
      <c r="M117" s="27"/>
      <c r="N117" s="5"/>
      <c r="O117" s="5"/>
      <c r="P117" s="6"/>
    </row>
    <row r="118" ht="12.0" customHeight="1">
      <c r="A118" s="4"/>
      <c r="B118" s="26"/>
      <c r="M118" s="27"/>
      <c r="N118" s="5"/>
      <c r="O118" s="5"/>
      <c r="P118" s="6"/>
    </row>
    <row r="119" ht="12.0" customHeight="1">
      <c r="A119" s="4"/>
      <c r="B119" s="28"/>
      <c r="C119" s="29"/>
      <c r="D119" s="29"/>
      <c r="E119" s="29"/>
      <c r="F119" s="29"/>
      <c r="G119" s="29"/>
      <c r="H119" s="29"/>
      <c r="I119" s="29"/>
      <c r="J119" s="29"/>
      <c r="K119" s="29"/>
      <c r="L119" s="29"/>
      <c r="M119" s="30"/>
      <c r="N119" s="5"/>
      <c r="O119" s="5"/>
      <c r="P119" s="6"/>
    </row>
    <row r="120" ht="12.0" customHeight="1">
      <c r="A120" s="4"/>
      <c r="B120" s="5"/>
      <c r="C120" s="5"/>
      <c r="D120" s="5"/>
      <c r="E120" s="5"/>
      <c r="F120" s="5"/>
      <c r="G120" s="5"/>
      <c r="H120" s="5"/>
      <c r="I120" s="5"/>
      <c r="J120" s="5"/>
      <c r="K120" s="5"/>
      <c r="L120" s="5"/>
      <c r="M120" s="5"/>
      <c r="N120" s="5"/>
      <c r="O120" s="5"/>
      <c r="P120" s="6"/>
    </row>
    <row r="121" ht="12.0" customHeight="1">
      <c r="A121" s="31"/>
      <c r="B121" s="32"/>
      <c r="C121" s="32"/>
      <c r="D121" s="32"/>
      <c r="E121" s="32"/>
      <c r="F121" s="32"/>
      <c r="G121" s="32"/>
      <c r="H121" s="32"/>
      <c r="I121" s="32"/>
      <c r="J121" s="32"/>
      <c r="K121" s="32"/>
      <c r="L121" s="32"/>
      <c r="M121" s="32"/>
      <c r="N121" s="32"/>
      <c r="O121" s="32"/>
      <c r="P121" s="33"/>
    </row>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2">
    <mergeCell ref="F13:K13"/>
    <mergeCell ref="B57:M119"/>
  </mergeCells>
  <hyperlinks>
    <hyperlink r:id="rId1" ref="I12"/>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0.43"/>
    <col customWidth="1" min="2" max="2" width="30.0"/>
    <col customWidth="1" min="3" max="3" width="15.14"/>
    <col customWidth="1" min="4" max="4" width="19.14"/>
    <col customWidth="1" min="5" max="5" width="19.29"/>
    <col customWidth="1" min="6" max="7" width="30.0"/>
    <col customWidth="1" min="8" max="8" width="28.71"/>
    <col customWidth="1" min="9" max="9" width="12.86"/>
    <col customWidth="1" min="10" max="10" width="8.71"/>
    <col customWidth="1" min="11" max="11" width="10.29"/>
    <col customWidth="1" min="12" max="12" width="8.86"/>
    <col customWidth="1" min="13" max="13" width="9.86"/>
    <col customWidth="1" hidden="1" min="14" max="19" width="8.71"/>
    <col customWidth="1" hidden="1" min="20" max="20" width="2.71"/>
    <col customWidth="1" hidden="1" min="21" max="21" width="3.0"/>
    <col customWidth="1" hidden="1" min="22" max="22" width="1.14"/>
    <col customWidth="1" hidden="1" min="23" max="23" width="3.71"/>
    <col customWidth="1" hidden="1" min="24" max="38" width="8.71"/>
    <col customWidth="1" min="39" max="39" width="11.71"/>
    <col customWidth="1" min="40" max="40" width="6.71"/>
    <col customWidth="1" min="41" max="41" width="9.29"/>
    <col customWidth="1" hidden="1" min="42" max="42" width="12.29"/>
    <col customWidth="1" hidden="1" min="43" max="43" width="12.0"/>
    <col customWidth="1" hidden="1" min="44" max="44" width="13.43"/>
    <col customWidth="1" hidden="1" min="45" max="45" width="14.57"/>
    <col customWidth="1" hidden="1" min="46" max="46" width="14.71"/>
    <col customWidth="1" hidden="1" min="47" max="47" width="11.29"/>
    <col customWidth="1" hidden="1" min="48" max="48" width="31.71"/>
    <col customWidth="1" hidden="1" min="49" max="49" width="32.43"/>
    <col customWidth="1" hidden="1" min="50" max="50" width="8.43"/>
    <col customWidth="1" hidden="1" min="51" max="51" width="22.29"/>
    <col customWidth="1" hidden="1" min="52" max="52" width="15.71"/>
    <col customWidth="1" hidden="1" min="53" max="53" width="12.57"/>
    <col customWidth="1" hidden="1" min="54" max="54" width="9.86"/>
    <col customWidth="1" hidden="1" min="55" max="55" width="12.71"/>
    <col customWidth="1" hidden="1" min="56" max="56" width="31.71"/>
    <col customWidth="1" hidden="1" min="57" max="57" width="32.43"/>
    <col customWidth="1" hidden="1" min="58" max="58" width="8.43"/>
    <col customWidth="1" hidden="1" min="59" max="59" width="22.29"/>
    <col customWidth="1" hidden="1" min="60" max="60" width="15.71"/>
    <col customWidth="1" min="61" max="61" width="15.29"/>
  </cols>
  <sheetData>
    <row r="1" ht="60.75" customHeight="1">
      <c r="A1" s="34" t="s">
        <v>44</v>
      </c>
      <c r="B1" s="35"/>
      <c r="C1" s="35"/>
      <c r="D1" s="35"/>
      <c r="E1" s="35"/>
      <c r="F1" s="35"/>
      <c r="G1" s="35"/>
      <c r="H1" s="35"/>
      <c r="I1" s="35"/>
      <c r="J1" s="35"/>
      <c r="K1" s="35"/>
      <c r="L1" s="35"/>
      <c r="M1" s="36"/>
      <c r="N1" s="37"/>
      <c r="O1" s="37"/>
      <c r="P1" s="37"/>
      <c r="Q1" s="37"/>
      <c r="R1" s="38"/>
      <c r="S1" s="38"/>
      <c r="T1" s="39"/>
      <c r="U1" s="39"/>
      <c r="V1" s="39"/>
      <c r="W1" s="39"/>
      <c r="X1" s="39"/>
      <c r="Y1" s="39"/>
      <c r="Z1" s="39"/>
      <c r="AA1" s="39"/>
      <c r="AB1" s="39"/>
      <c r="AC1" s="39"/>
      <c r="AD1" s="39"/>
      <c r="AE1" s="39"/>
      <c r="AF1" s="39"/>
      <c r="AG1" s="39"/>
      <c r="AH1" s="39"/>
      <c r="AI1" s="39"/>
      <c r="AJ1" s="39"/>
      <c r="AK1" s="39"/>
      <c r="AL1" s="39"/>
      <c r="AM1" s="40"/>
      <c r="AN1" s="40"/>
      <c r="AO1" s="40"/>
      <c r="AP1" s="41"/>
      <c r="AQ1" s="41"/>
      <c r="AR1" s="41"/>
      <c r="AS1" s="41"/>
      <c r="AT1" s="41"/>
      <c r="AU1" s="41"/>
      <c r="AV1" s="41"/>
      <c r="AW1" s="41"/>
      <c r="AX1" s="41"/>
      <c r="AY1" s="41"/>
      <c r="AZ1" s="41"/>
      <c r="BA1" s="41"/>
      <c r="BB1" s="41"/>
      <c r="BC1" s="41"/>
      <c r="BD1" s="41"/>
      <c r="BE1" s="41"/>
      <c r="BF1" s="41"/>
      <c r="BG1" s="41"/>
      <c r="BH1" s="41"/>
      <c r="BI1" s="41"/>
    </row>
    <row r="2" ht="15.0" customHeight="1">
      <c r="A2" s="42"/>
      <c r="B2" s="43" t="s">
        <v>45</v>
      </c>
      <c r="C2" s="42"/>
      <c r="D2" s="42"/>
      <c r="E2" s="42"/>
      <c r="F2" s="44"/>
      <c r="G2" s="44"/>
      <c r="H2" s="42"/>
      <c r="I2" s="42"/>
      <c r="J2" s="42"/>
      <c r="K2" s="42"/>
      <c r="L2" s="45"/>
      <c r="M2" s="17"/>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6"/>
      <c r="AO2" s="46"/>
    </row>
    <row r="3" ht="15.0" customHeight="1">
      <c r="A3" s="42"/>
      <c r="B3" s="42"/>
      <c r="C3" s="42"/>
      <c r="D3" s="42"/>
      <c r="E3" s="42"/>
      <c r="F3" s="42"/>
      <c r="G3" s="44"/>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6"/>
      <c r="AO3" s="46"/>
    </row>
    <row r="4" ht="15.0" customHeight="1">
      <c r="A4" s="42"/>
      <c r="B4" s="42"/>
      <c r="C4" s="42"/>
      <c r="D4" s="42"/>
      <c r="E4" s="42"/>
      <c r="F4" s="42"/>
      <c r="G4" s="44"/>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6"/>
      <c r="AO4" s="46"/>
    </row>
    <row r="5" ht="15.0" customHeight="1">
      <c r="A5" s="42"/>
      <c r="B5" s="42"/>
      <c r="C5" s="42"/>
      <c r="D5" s="42"/>
      <c r="E5" s="42"/>
      <c r="F5" s="42"/>
      <c r="G5" s="44"/>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6"/>
      <c r="AO5" s="46"/>
    </row>
    <row r="6" ht="15.0" customHeight="1">
      <c r="A6" s="42"/>
      <c r="B6" s="42"/>
      <c r="C6" s="42"/>
      <c r="D6" s="42"/>
      <c r="E6" s="42"/>
      <c r="F6" s="42"/>
      <c r="G6" s="44"/>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6"/>
      <c r="AO6" s="46"/>
    </row>
    <row r="7" ht="15.0" customHeight="1">
      <c r="A7" s="42"/>
      <c r="B7" s="42"/>
      <c r="C7" s="42"/>
      <c r="D7" s="42"/>
      <c r="E7" s="42"/>
      <c r="F7" s="42"/>
      <c r="G7" s="44"/>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6"/>
      <c r="AO7" s="46"/>
    </row>
    <row r="8" ht="15.0" customHeight="1">
      <c r="A8" s="42"/>
      <c r="B8" s="42"/>
      <c r="C8" s="42"/>
      <c r="D8" s="42"/>
      <c r="E8" s="42"/>
      <c r="F8" s="42"/>
      <c r="G8" s="44"/>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6"/>
      <c r="AO8" s="46"/>
    </row>
    <row r="9" ht="15.0" customHeight="1">
      <c r="A9" s="42"/>
      <c r="B9" s="47"/>
      <c r="C9" s="48"/>
      <c r="D9" s="48"/>
      <c r="E9" s="48"/>
      <c r="F9" s="48"/>
      <c r="G9" s="49"/>
      <c r="H9" s="50"/>
      <c r="I9" s="50"/>
      <c r="J9" s="50"/>
      <c r="K9" s="50"/>
      <c r="L9" s="48"/>
      <c r="M9" s="48"/>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48"/>
      <c r="AO9" s="48"/>
    </row>
    <row r="10" ht="15.0" customHeight="1">
      <c r="A10" s="42"/>
      <c r="B10" s="51"/>
      <c r="C10" s="52"/>
      <c r="D10" s="53" t="s">
        <v>46</v>
      </c>
      <c r="E10" s="16"/>
      <c r="F10" s="17"/>
      <c r="G10" s="44"/>
      <c r="H10" s="42"/>
      <c r="I10" s="42"/>
      <c r="J10" s="42"/>
      <c r="K10" s="42"/>
      <c r="L10" s="46"/>
      <c r="M10" s="46"/>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6"/>
      <c r="AO10" s="46"/>
    </row>
    <row r="11" ht="15.0" customHeight="1">
      <c r="A11" s="42"/>
      <c r="B11" s="54"/>
      <c r="C11" s="55"/>
      <c r="D11" s="53" t="s">
        <v>47</v>
      </c>
      <c r="E11" s="16"/>
      <c r="F11" s="17"/>
      <c r="G11" s="44"/>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6"/>
      <c r="AO11" s="46"/>
    </row>
    <row r="12" ht="15.0" customHeight="1">
      <c r="A12" s="42"/>
      <c r="B12" s="56"/>
      <c r="C12" s="57"/>
      <c r="D12" s="58" t="s">
        <v>48</v>
      </c>
      <c r="E12" s="59"/>
      <c r="F12" s="60"/>
      <c r="G12" s="46"/>
      <c r="H12" s="61"/>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row>
    <row r="13" ht="15.0" customHeight="1">
      <c r="A13" s="42"/>
      <c r="B13" s="56"/>
      <c r="C13" s="62"/>
      <c r="D13" s="63"/>
      <c r="E13" s="64"/>
      <c r="F13" s="65"/>
      <c r="G13" s="46"/>
      <c r="H13" s="66"/>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T13" s="11" t="s">
        <v>49</v>
      </c>
    </row>
    <row r="14" ht="15.0" customHeight="1">
      <c r="A14" s="42"/>
      <c r="B14" s="54"/>
      <c r="C14" s="42"/>
      <c r="D14" s="42"/>
      <c r="E14" s="67"/>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row>
    <row r="15" ht="15.0" customHeight="1">
      <c r="A15" s="42"/>
      <c r="B15" s="54"/>
      <c r="C15" s="42"/>
      <c r="D15" s="68" t="s">
        <v>50</v>
      </c>
      <c r="E15" s="46"/>
      <c r="F15" s="46"/>
      <c r="G15" s="46"/>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row>
    <row r="16" ht="15.0" customHeight="1">
      <c r="A16" s="42"/>
      <c r="B16" s="54"/>
      <c r="C16" s="42"/>
      <c r="D16" s="69" t="s">
        <v>51</v>
      </c>
      <c r="E16" s="59"/>
      <c r="F16" s="60"/>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row>
    <row r="17" ht="15.0" customHeight="1">
      <c r="A17" s="42"/>
      <c r="B17" s="54"/>
      <c r="C17" s="42"/>
      <c r="D17" s="70"/>
      <c r="E17" s="64"/>
      <c r="F17" s="65"/>
      <c r="G17" s="71"/>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row>
    <row r="18" ht="15.0" customHeight="1">
      <c r="A18" s="42"/>
      <c r="B18" s="72"/>
      <c r="C18" s="73"/>
      <c r="D18" s="74"/>
      <c r="E18" s="74"/>
      <c r="F18" s="74"/>
      <c r="G18" s="75"/>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row>
    <row r="19" ht="15.0" customHeight="1">
      <c r="A19" s="42"/>
      <c r="B19" s="76" t="s">
        <v>52</v>
      </c>
      <c r="C19" s="50"/>
      <c r="D19" s="50"/>
      <c r="E19" s="77" t="s">
        <v>53</v>
      </c>
      <c r="F19" s="78">
        <v>10.0</v>
      </c>
      <c r="G19" s="79" t="s">
        <v>54</v>
      </c>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80"/>
    </row>
    <row r="20" ht="15.0" customHeight="1">
      <c r="A20" s="42"/>
      <c r="B20" s="81"/>
      <c r="C20" s="42"/>
      <c r="D20" s="42"/>
      <c r="E20" s="67" t="s">
        <v>55</v>
      </c>
      <c r="F20" s="82">
        <v>24.0</v>
      </c>
      <c r="G20" s="83" t="s">
        <v>54</v>
      </c>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84"/>
    </row>
    <row r="21" ht="15.0" customHeight="1">
      <c r="A21" s="42"/>
      <c r="B21" s="54"/>
      <c r="C21" s="42"/>
      <c r="D21" s="42"/>
      <c r="E21" s="67" t="s">
        <v>56</v>
      </c>
      <c r="F21" s="82">
        <v>30.0</v>
      </c>
      <c r="G21" s="83" t="s">
        <v>54</v>
      </c>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84"/>
    </row>
    <row r="22" ht="15.0" customHeight="1">
      <c r="A22" s="42"/>
      <c r="B22" s="54"/>
      <c r="C22" s="42"/>
      <c r="D22" s="42"/>
      <c r="E22" s="67" t="s">
        <v>57</v>
      </c>
      <c r="F22" s="85">
        <v>8.0</v>
      </c>
      <c r="G22" s="83" t="s">
        <v>58</v>
      </c>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84"/>
    </row>
    <row r="23" ht="15.0" customHeight="1">
      <c r="A23" s="42"/>
      <c r="B23" s="54"/>
      <c r="C23" s="42"/>
      <c r="D23" s="42"/>
      <c r="E23" s="67" t="s">
        <v>59</v>
      </c>
      <c r="F23" s="82">
        <v>3000.0</v>
      </c>
      <c r="G23" s="83" t="s">
        <v>60</v>
      </c>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84"/>
    </row>
    <row r="24" ht="15.0" customHeight="1">
      <c r="A24" s="42"/>
      <c r="B24" s="54"/>
      <c r="C24" s="42"/>
      <c r="D24" s="42"/>
      <c r="E24" s="67" t="s">
        <v>61</v>
      </c>
      <c r="F24" s="86">
        <v>85.0</v>
      </c>
      <c r="G24" s="83" t="s">
        <v>62</v>
      </c>
      <c r="H24" s="87" t="s">
        <v>63</v>
      </c>
      <c r="I24" s="60"/>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84"/>
    </row>
    <row r="25" ht="15.0" customHeight="1">
      <c r="A25" s="42"/>
      <c r="B25" s="88"/>
      <c r="C25" s="42"/>
      <c r="D25" s="42"/>
      <c r="E25" s="67" t="s">
        <v>64</v>
      </c>
      <c r="F25" s="86">
        <v>100.0</v>
      </c>
      <c r="G25" s="83" t="s">
        <v>65</v>
      </c>
      <c r="H25" s="89"/>
      <c r="I25" s="90"/>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84"/>
    </row>
    <row r="26" ht="15.0" customHeight="1">
      <c r="A26" s="42"/>
      <c r="B26" s="88"/>
      <c r="C26" s="42"/>
      <c r="D26" s="42"/>
      <c r="E26" s="91" t="s">
        <v>66</v>
      </c>
      <c r="F26" s="82">
        <v>30.0</v>
      </c>
      <c r="G26" s="83" t="s">
        <v>67</v>
      </c>
      <c r="H26" s="63"/>
      <c r="I26" s="65"/>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84"/>
    </row>
    <row r="27" ht="15.0" customHeight="1">
      <c r="A27" s="42"/>
      <c r="B27" s="92"/>
      <c r="C27" s="42"/>
      <c r="D27" s="42"/>
      <c r="E27" s="93" t="s">
        <v>68</v>
      </c>
      <c r="F27" s="82">
        <v>0.0</v>
      </c>
      <c r="G27" s="83" t="s">
        <v>54</v>
      </c>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84"/>
    </row>
    <row r="28" ht="15.0" customHeight="1">
      <c r="A28" s="42"/>
      <c r="B28" s="92"/>
      <c r="C28" s="42"/>
      <c r="D28" s="42"/>
      <c r="E28" s="91" t="s">
        <v>69</v>
      </c>
      <c r="F28" s="82" t="s">
        <v>70</v>
      </c>
      <c r="G28" s="83"/>
      <c r="H28" s="87" t="s">
        <v>71</v>
      </c>
      <c r="I28" s="60"/>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84"/>
    </row>
    <row r="29" ht="15.0" customHeight="1">
      <c r="A29" s="42"/>
      <c r="B29" s="92"/>
      <c r="C29" s="42"/>
      <c r="D29" s="42"/>
      <c r="E29" s="91" t="s">
        <v>72</v>
      </c>
      <c r="F29" s="82">
        <v>0.2</v>
      </c>
      <c r="G29" s="83" t="str">
        <f>IF(F28="Constant Current","A","Ohms")</f>
        <v>A</v>
      </c>
      <c r="H29" s="63"/>
      <c r="I29" s="65"/>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84"/>
    </row>
    <row r="30" ht="15.0" customHeight="1">
      <c r="A30" s="42"/>
      <c r="B30" s="92"/>
      <c r="C30" s="42"/>
      <c r="D30" s="42"/>
      <c r="E30" s="67" t="s">
        <v>73</v>
      </c>
      <c r="F30" s="82" t="s">
        <v>74</v>
      </c>
      <c r="G30" s="83"/>
      <c r="H30" s="87" t="s">
        <v>75</v>
      </c>
      <c r="I30" s="60"/>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84"/>
    </row>
    <row r="31" ht="15.0" customHeight="1">
      <c r="A31" s="42"/>
      <c r="B31" s="92"/>
      <c r="C31" s="42"/>
      <c r="D31" s="42"/>
      <c r="E31" s="67" t="s">
        <v>76</v>
      </c>
      <c r="F31" s="94">
        <v>1.0</v>
      </c>
      <c r="G31" s="83" t="s">
        <v>77</v>
      </c>
      <c r="H31" s="95"/>
      <c r="I31" s="96"/>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84"/>
    </row>
    <row r="32" ht="15.0" customHeight="1">
      <c r="A32" s="42"/>
      <c r="B32" s="76" t="s">
        <v>78</v>
      </c>
      <c r="C32" s="97"/>
      <c r="D32" s="50"/>
      <c r="E32" s="98" t="s">
        <v>79</v>
      </c>
      <c r="F32" s="99" t="s">
        <v>80</v>
      </c>
      <c r="G32" s="100"/>
      <c r="H32" s="101"/>
      <c r="I32" s="101"/>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80"/>
      <c r="AP32" s="11"/>
    </row>
    <row r="33" ht="15.0" customHeight="1">
      <c r="A33" s="42"/>
      <c r="B33" s="102"/>
      <c r="C33" s="42"/>
      <c r="D33" s="42"/>
      <c r="E33" s="67" t="s">
        <v>81</v>
      </c>
      <c r="F33" s="103">
        <f>Equations!F20</f>
        <v>6.002475248</v>
      </c>
      <c r="G33" s="83" t="s">
        <v>82</v>
      </c>
      <c r="H33" s="71"/>
      <c r="I33" s="71"/>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84"/>
      <c r="AP33" s="11"/>
    </row>
    <row r="34" ht="15.0" customHeight="1">
      <c r="A34" s="42"/>
      <c r="B34" s="54"/>
      <c r="C34" s="42"/>
      <c r="D34" s="42"/>
      <c r="E34" s="67" t="s">
        <v>83</v>
      </c>
      <c r="F34" s="85" t="s">
        <v>84</v>
      </c>
      <c r="G34" s="83"/>
      <c r="H34" s="71"/>
      <c r="I34" s="71"/>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84"/>
      <c r="AP34" s="11" t="s">
        <v>49</v>
      </c>
    </row>
    <row r="35" ht="15.0" customHeight="1">
      <c r="A35" s="42"/>
      <c r="B35" s="54"/>
      <c r="C35" s="42"/>
      <c r="D35" s="42"/>
      <c r="E35" s="67" t="s">
        <v>85</v>
      </c>
      <c r="F35" s="82">
        <v>2.5</v>
      </c>
      <c r="G35" s="83" t="s">
        <v>86</v>
      </c>
      <c r="H35" s="71"/>
      <c r="I35" s="71"/>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84"/>
      <c r="AP35" s="11" t="s">
        <v>84</v>
      </c>
    </row>
    <row r="36" ht="15.0" customHeight="1">
      <c r="A36" s="42"/>
      <c r="B36" s="54"/>
      <c r="C36" s="42"/>
      <c r="D36" s="42"/>
      <c r="E36" s="67" t="s">
        <v>87</v>
      </c>
      <c r="F36" s="104" t="str">
        <f>Equations!F21</f>
        <v>NA</v>
      </c>
      <c r="G36" s="105" t="s">
        <v>88</v>
      </c>
      <c r="H36" s="106"/>
      <c r="I36" s="107"/>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84"/>
    </row>
    <row r="37" ht="15.0" customHeight="1">
      <c r="A37" s="42"/>
      <c r="B37" s="54"/>
      <c r="C37" s="42"/>
      <c r="D37" s="42"/>
      <c r="E37" s="67" t="s">
        <v>89</v>
      </c>
      <c r="F37" s="103" t="str">
        <f>Equations!F22</f>
        <v>NA</v>
      </c>
      <c r="G37" s="105" t="s">
        <v>88</v>
      </c>
      <c r="H37" s="106"/>
      <c r="I37" s="107"/>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84"/>
    </row>
    <row r="38" ht="15.0" customHeight="1">
      <c r="A38" s="42"/>
      <c r="B38" s="54"/>
      <c r="C38" s="42"/>
      <c r="D38" s="42"/>
      <c r="E38" s="67" t="s">
        <v>90</v>
      </c>
      <c r="F38" s="82">
        <v>10.0</v>
      </c>
      <c r="G38" s="105" t="s">
        <v>88</v>
      </c>
      <c r="H38" s="106"/>
      <c r="I38" s="107"/>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84"/>
      <c r="AP38" s="108" t="b">
        <f>AND(F34="No")</f>
        <v>1</v>
      </c>
    </row>
    <row r="39" ht="15.0" customHeight="1">
      <c r="A39" s="42"/>
      <c r="B39" s="109"/>
      <c r="C39" s="42"/>
      <c r="D39" s="42"/>
      <c r="E39" s="67" t="s">
        <v>91</v>
      </c>
      <c r="F39" s="82">
        <v>0.31</v>
      </c>
      <c r="G39" s="105" t="s">
        <v>88</v>
      </c>
      <c r="H39" s="106"/>
      <c r="I39" s="107"/>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84"/>
    </row>
    <row r="40" ht="15.0" customHeight="1">
      <c r="A40" s="42"/>
      <c r="B40" s="109"/>
      <c r="C40" s="42"/>
      <c r="D40" s="42"/>
      <c r="E40" s="67" t="s">
        <v>92</v>
      </c>
      <c r="F40" s="103">
        <f>RsEFF</f>
        <v>2.5</v>
      </c>
      <c r="G40" s="83" t="s">
        <v>93</v>
      </c>
      <c r="H40" s="110"/>
      <c r="I40" s="71"/>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84"/>
    </row>
    <row r="41" ht="15.0" customHeight="1">
      <c r="A41" s="42"/>
      <c r="B41" s="111"/>
      <c r="C41" s="42"/>
      <c r="D41" s="5"/>
      <c r="E41" s="112" t="s">
        <v>94</v>
      </c>
      <c r="F41" s="113">
        <f>CLMIN</f>
        <v>19.4</v>
      </c>
      <c r="G41" s="83" t="s">
        <v>58</v>
      </c>
      <c r="H41" s="71"/>
      <c r="I41" s="71"/>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84"/>
    </row>
    <row r="42" ht="15.0" customHeight="1">
      <c r="A42" s="42"/>
      <c r="B42" s="54"/>
      <c r="C42" s="42"/>
      <c r="D42" s="114"/>
      <c r="E42" s="115" t="s">
        <v>95</v>
      </c>
      <c r="F42" s="113">
        <f>CLNOM</f>
        <v>22</v>
      </c>
      <c r="G42" s="83" t="s">
        <v>58</v>
      </c>
      <c r="H42" s="71"/>
      <c r="I42" s="71"/>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84"/>
    </row>
    <row r="43" ht="15.0" customHeight="1">
      <c r="A43" s="42"/>
      <c r="B43" s="54"/>
      <c r="C43" s="42"/>
      <c r="D43" s="116"/>
      <c r="E43" s="117" t="s">
        <v>96</v>
      </c>
      <c r="F43" s="113">
        <f>CLMAX</f>
        <v>24.6</v>
      </c>
      <c r="G43" s="83" t="s">
        <v>58</v>
      </c>
      <c r="H43" s="71"/>
      <c r="I43" s="71"/>
      <c r="J43" s="42"/>
      <c r="K43" s="11"/>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84"/>
      <c r="AP43" s="11" t="s">
        <v>97</v>
      </c>
    </row>
    <row r="44" ht="15.0" customHeight="1">
      <c r="A44" s="42"/>
      <c r="B44" s="54"/>
      <c r="C44" s="42"/>
      <c r="D44" s="42"/>
      <c r="E44" s="67" t="s">
        <v>98</v>
      </c>
      <c r="F44" s="118">
        <f>Equations!F27/1000</f>
        <v>1.5129</v>
      </c>
      <c r="G44" s="83" t="s">
        <v>88</v>
      </c>
      <c r="H44" s="71"/>
      <c r="I44" s="71"/>
      <c r="J44" s="42"/>
      <c r="K44" s="119" t="s">
        <v>99</v>
      </c>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60"/>
      <c r="AO44" s="84"/>
      <c r="AP44" s="11" t="s">
        <v>100</v>
      </c>
    </row>
    <row r="45" ht="15.0" customHeight="1">
      <c r="A45" s="42"/>
      <c r="B45" s="54"/>
      <c r="C45" s="42"/>
      <c r="D45" s="42"/>
      <c r="E45" s="67" t="s">
        <v>101</v>
      </c>
      <c r="F45" s="86" t="s">
        <v>97</v>
      </c>
      <c r="G45" s="83"/>
      <c r="H45" s="71"/>
      <c r="I45" s="71"/>
      <c r="J45" s="42"/>
      <c r="K45" s="70"/>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5"/>
      <c r="AO45" s="84"/>
      <c r="AP45" s="11" t="s">
        <v>102</v>
      </c>
    </row>
    <row r="46" ht="15.0" customHeight="1">
      <c r="A46" s="42"/>
      <c r="B46" s="54"/>
      <c r="C46" s="42"/>
      <c r="D46" s="42"/>
      <c r="E46" s="120" t="s">
        <v>103</v>
      </c>
      <c r="F46" s="86" t="s">
        <v>102</v>
      </c>
      <c r="G46" s="83"/>
      <c r="H46" s="71"/>
      <c r="I46" s="71"/>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84"/>
      <c r="AP46" s="11" t="s">
        <v>104</v>
      </c>
    </row>
    <row r="47" ht="15.0" customHeight="1">
      <c r="A47" s="42"/>
      <c r="B47" s="54"/>
      <c r="C47" s="42"/>
      <c r="D47" s="42"/>
      <c r="E47" s="120"/>
      <c r="F47" s="121"/>
      <c r="G47" s="83"/>
      <c r="H47" s="110"/>
      <c r="I47" s="71"/>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84"/>
      <c r="AP47" s="11"/>
      <c r="AQ47" s="11"/>
      <c r="AR47" s="11"/>
      <c r="AS47" s="11"/>
      <c r="AT47" s="11"/>
      <c r="AU47" s="11"/>
      <c r="AV47" s="11"/>
      <c r="AW47" s="11"/>
      <c r="AX47" s="11"/>
      <c r="AY47" s="11"/>
      <c r="AZ47" s="11"/>
      <c r="BA47" s="11"/>
      <c r="BB47" s="11"/>
      <c r="BC47" s="11"/>
      <c r="BD47" s="11"/>
      <c r="BE47" s="11"/>
      <c r="BF47" s="11"/>
      <c r="BG47" s="11"/>
      <c r="BH47" s="11"/>
      <c r="BI47" s="11"/>
    </row>
    <row r="48" ht="15.0" customHeight="1">
      <c r="A48" s="42"/>
      <c r="B48" s="54"/>
      <c r="C48" s="42"/>
      <c r="D48" s="42"/>
      <c r="E48" s="67" t="s">
        <v>105</v>
      </c>
      <c r="F48" s="122">
        <f>Equations!F40</f>
        <v>60</v>
      </c>
      <c r="G48" s="83" t="s">
        <v>88</v>
      </c>
      <c r="H48" s="71"/>
      <c r="I48" s="71"/>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84"/>
      <c r="AP48" s="11"/>
      <c r="AQ48" s="11"/>
      <c r="AR48" s="11"/>
      <c r="AS48" s="11"/>
      <c r="AT48" s="11"/>
      <c r="AU48" s="11"/>
      <c r="AV48" s="11"/>
      <c r="AW48" s="11"/>
      <c r="AX48" s="11"/>
      <c r="AY48" s="11"/>
      <c r="AZ48" s="11"/>
      <c r="BA48" s="11"/>
      <c r="BB48" s="11"/>
      <c r="BC48" s="11"/>
      <c r="BD48" s="11"/>
      <c r="BE48" s="11"/>
      <c r="BF48" s="11"/>
      <c r="BG48" s="11"/>
      <c r="BH48" s="11"/>
      <c r="BI48" s="11"/>
    </row>
    <row r="49" ht="15.0" customHeight="1">
      <c r="A49" s="42"/>
      <c r="B49" s="54"/>
      <c r="C49" s="42"/>
      <c r="D49" s="42"/>
      <c r="E49" s="67" t="s">
        <v>106</v>
      </c>
      <c r="F49" s="123">
        <v>75.0</v>
      </c>
      <c r="G49" s="83" t="s">
        <v>88</v>
      </c>
      <c r="H49" s="71"/>
      <c r="I49" s="7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84"/>
      <c r="AP49" s="11"/>
      <c r="AQ49" s="11"/>
      <c r="AR49" s="11"/>
      <c r="AS49" s="11"/>
      <c r="AT49" s="11"/>
      <c r="AU49" s="11"/>
      <c r="AV49" s="11"/>
      <c r="AW49" s="11"/>
      <c r="AX49" s="11"/>
      <c r="AY49" s="11"/>
      <c r="AZ49" s="11"/>
      <c r="BA49" s="11"/>
      <c r="BB49" s="11"/>
      <c r="BC49" s="11"/>
      <c r="BD49" s="11"/>
      <c r="BE49" s="11"/>
      <c r="BF49" s="11"/>
      <c r="BG49" s="11"/>
      <c r="BH49" s="11"/>
      <c r="BI49" s="11"/>
    </row>
    <row r="50" ht="15.0" customHeight="1">
      <c r="A50" s="42"/>
      <c r="B50" s="54"/>
      <c r="C50" s="42"/>
      <c r="D50" s="42"/>
      <c r="E50" s="67" t="s">
        <v>107</v>
      </c>
      <c r="F50" s="124">
        <f>Equations!F42</f>
        <v>23.4375</v>
      </c>
      <c r="G50" s="83" t="s">
        <v>108</v>
      </c>
      <c r="H50" s="71"/>
      <c r="I50" s="71"/>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84"/>
      <c r="AP50" s="11"/>
      <c r="AQ50" s="11"/>
      <c r="AR50" s="11"/>
      <c r="AS50" s="11"/>
      <c r="AT50" s="11"/>
      <c r="AU50" s="11"/>
      <c r="AV50" s="11"/>
      <c r="AW50" s="11"/>
      <c r="AX50" s="11"/>
      <c r="AY50" s="11"/>
      <c r="AZ50" s="11"/>
      <c r="BA50" s="11"/>
      <c r="BB50" s="11"/>
      <c r="BC50" s="11"/>
      <c r="BD50" s="11"/>
      <c r="BE50" s="11"/>
      <c r="BF50" s="11"/>
      <c r="BG50" s="11"/>
      <c r="BH50" s="11"/>
      <c r="BI50" s="11"/>
    </row>
    <row r="51" ht="15.0" customHeight="1">
      <c r="A51" s="42"/>
      <c r="B51" s="54"/>
      <c r="C51" s="42"/>
      <c r="D51" s="42"/>
      <c r="E51" s="67" t="s">
        <v>109</v>
      </c>
      <c r="F51" s="82">
        <v>22.0</v>
      </c>
      <c r="G51" s="83" t="s">
        <v>110</v>
      </c>
      <c r="H51" s="71"/>
      <c r="I51" s="71"/>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84"/>
      <c r="AP51" s="11"/>
      <c r="AQ51" s="11"/>
      <c r="AR51" s="11"/>
      <c r="AS51" s="11"/>
      <c r="AT51" s="11"/>
      <c r="AU51" s="11"/>
      <c r="AV51" s="11"/>
      <c r="AW51" s="11"/>
      <c r="AX51" s="11"/>
      <c r="AY51" s="11"/>
      <c r="AZ51" s="11"/>
      <c r="BA51" s="11"/>
      <c r="BB51" s="11"/>
      <c r="BC51" s="11"/>
      <c r="BD51" s="11"/>
      <c r="BE51" s="11"/>
      <c r="BF51" s="11"/>
      <c r="BG51" s="11"/>
      <c r="BH51" s="11"/>
      <c r="BI51" s="11"/>
    </row>
    <row r="52" ht="15.0" customHeight="1">
      <c r="A52" s="42"/>
      <c r="B52" s="54"/>
      <c r="C52" s="42"/>
      <c r="D52" s="42"/>
      <c r="E52" s="67" t="s">
        <v>111</v>
      </c>
      <c r="F52" s="125">
        <f>Equations!F44</f>
        <v>70.4</v>
      </c>
      <c r="G52" s="83" t="s">
        <v>88</v>
      </c>
      <c r="H52" s="71"/>
      <c r="I52" s="71"/>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84"/>
      <c r="AP52" s="11"/>
      <c r="AQ52" s="11"/>
      <c r="AR52" s="11"/>
      <c r="AS52" s="11"/>
      <c r="AT52" s="11"/>
      <c r="AU52" s="11"/>
      <c r="AV52" s="11"/>
      <c r="AW52" s="11"/>
      <c r="AX52" s="11"/>
      <c r="AY52" s="11"/>
      <c r="AZ52" s="11"/>
      <c r="BA52" s="11"/>
      <c r="BB52" s="11"/>
      <c r="BC52" s="11"/>
      <c r="BD52" s="11"/>
      <c r="BE52" s="11"/>
      <c r="BF52" s="11"/>
      <c r="BG52" s="11"/>
      <c r="BH52" s="11"/>
      <c r="BI52" s="11"/>
    </row>
    <row r="53" ht="15.0" customHeight="1">
      <c r="A53" s="42"/>
      <c r="B53" s="76" t="s">
        <v>112</v>
      </c>
      <c r="C53" s="50"/>
      <c r="D53" s="50"/>
      <c r="E53" s="77" t="s">
        <v>113</v>
      </c>
      <c r="F53" s="126" t="s">
        <v>114</v>
      </c>
      <c r="G53" s="126" t="s">
        <v>114</v>
      </c>
      <c r="H53" s="127" t="s">
        <v>115</v>
      </c>
      <c r="I53" s="79"/>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80"/>
      <c r="AV53" s="128" t="s">
        <v>116</v>
      </c>
      <c r="AW53" s="128" t="s">
        <v>117</v>
      </c>
      <c r="AX53" s="128" t="s">
        <v>118</v>
      </c>
      <c r="AY53" s="128" t="s">
        <v>119</v>
      </c>
      <c r="AZ53" s="128" t="s">
        <v>120</v>
      </c>
      <c r="BD53" s="128" t="s">
        <v>121</v>
      </c>
      <c r="BE53" s="128" t="s">
        <v>122</v>
      </c>
      <c r="BF53" s="128" t="s">
        <v>118</v>
      </c>
      <c r="BG53" s="128" t="s">
        <v>119</v>
      </c>
      <c r="BH53" s="128" t="s">
        <v>120</v>
      </c>
    </row>
    <row r="54" ht="15.0" customHeight="1">
      <c r="A54" s="42"/>
      <c r="B54" s="129" t="s">
        <v>123</v>
      </c>
      <c r="C54" s="42"/>
      <c r="D54" s="42"/>
      <c r="E54" s="67" t="s">
        <v>124</v>
      </c>
      <c r="F54" s="55" t="s">
        <v>125</v>
      </c>
      <c r="G54" s="55" t="s">
        <v>126</v>
      </c>
      <c r="H54" s="130" t="s">
        <v>127</v>
      </c>
      <c r="I54" s="83"/>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84"/>
      <c r="AP54" s="108">
        <f>((((TJMAX-TAMB)/ThetaJA)/(CLMAX^2))*1000)*NUMFETS1^2</f>
        <v>6.334412938</v>
      </c>
      <c r="AQ54" s="108">
        <f>((TJMAX-TAMB)/ThetaJA)</f>
        <v>3.833333333</v>
      </c>
      <c r="AV54" s="128" t="str">
        <f>'MOSFET Database 48V'!B4</f>
        <v>CSD19536KTT</v>
      </c>
      <c r="AW54" s="128" t="str">
        <f t="shared" ref="AW54:AW63" si="1">AV54&amp;" , "&amp;ROUND(AZ54,2)&amp;" , $"&amp;AX54</f>
        <v>CSD19536KTT , 8.41 , $1.972</v>
      </c>
      <c r="AX54" s="131">
        <f>'MOSFET Database 48V'!C35</f>
        <v>1.972</v>
      </c>
      <c r="AY54" s="132">
        <f>'MOSFET Database 48V'!C33</f>
        <v>0.221184</v>
      </c>
      <c r="AZ54" s="132">
        <f>'MOSFET Database 48V'!C61</f>
        <v>8.413023464</v>
      </c>
      <c r="BD54" s="128" t="str">
        <f>'MOSFET Database 24V'!F4</f>
        <v>CSD18536KTT</v>
      </c>
      <c r="BE54" s="128" t="str">
        <f t="shared" ref="BE54:BE71" si="2">BD54&amp;" , "&amp;ROUND(BH54,2)&amp;" , $"&amp;BF54</f>
        <v>CSD18536KTT , 8.41 , $1.894</v>
      </c>
      <c r="BF54" s="131">
        <f>'MOSFET Database 24V'!G35</f>
        <v>1.894</v>
      </c>
      <c r="BG54" s="132">
        <f>'MOSFET Database 24V'!G33</f>
        <v>0.14336</v>
      </c>
      <c r="BH54" s="132">
        <f>'MOSFET Database 24V'!G61</f>
        <v>8.410880564</v>
      </c>
    </row>
    <row r="55" ht="15.0" customHeight="1">
      <c r="A55" s="42"/>
      <c r="B55" s="133"/>
      <c r="C55" s="42"/>
      <c r="D55" s="42"/>
      <c r="E55" s="67" t="s">
        <v>128</v>
      </c>
      <c r="F55" s="55">
        <f>IF(VINMAX&lt;=40,'MOSFET Database 24V'!C80,'MOSFET Database 48V'!C80)</f>
        <v>2.24</v>
      </c>
      <c r="G55" s="55">
        <f>IF(VINMAX&lt;=40,'MOSFET Database 24V'!G80,'MOSFET Database 48V'!G80)</f>
        <v>3.124</v>
      </c>
      <c r="H55" s="134">
        <v>4.5</v>
      </c>
      <c r="I55" s="83" t="s">
        <v>129</v>
      </c>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84"/>
      <c r="AP55" s="135" t="s">
        <v>130</v>
      </c>
      <c r="AV55" s="136" t="str">
        <f>'MOSFET Database 48V'!F4</f>
        <v>CSD19535KTT</v>
      </c>
      <c r="AW55" s="136" t="str">
        <f t="shared" si="1"/>
        <v>CSD19535KTT , 4.02 , $1.313</v>
      </c>
      <c r="AX55" s="131">
        <f>'MOSFET Database 48V'!G35</f>
        <v>1.313</v>
      </c>
      <c r="AY55" s="132">
        <f>'MOSFET Database 48V'!G33</f>
        <v>0.343808</v>
      </c>
      <c r="AZ55" s="132">
        <f>'MOSFET Database 48V'!G61</f>
        <v>4.023921117</v>
      </c>
      <c r="BD55" s="128" t="str">
        <f>'MOSFET Database 24V'!R4</f>
        <v>CSD19506KTT</v>
      </c>
      <c r="BE55" s="128" t="str">
        <f t="shared" si="2"/>
        <v>CSD19506KTT , 6.75 , $1.972</v>
      </c>
      <c r="BF55" s="131">
        <f>'MOSFET Database 24V'!S35</f>
        <v>1.972</v>
      </c>
      <c r="BG55" s="132">
        <f>'MOSFET Database 24V'!S33</f>
        <v>0.21344</v>
      </c>
      <c r="BH55" s="132">
        <f>'MOSFET Database 24V'!S61</f>
        <v>6.753031723</v>
      </c>
    </row>
    <row r="56" ht="15.0" customHeight="1">
      <c r="A56" s="42"/>
      <c r="B56" s="133"/>
      <c r="C56" s="42"/>
      <c r="D56" s="42"/>
      <c r="E56" s="67" t="s">
        <v>131</v>
      </c>
      <c r="F56" s="55">
        <f>IF(VINMAX&lt;=40,'MOSFET Database 24V'!C79,'MOSFET Database 48V'!C79)</f>
        <v>175</v>
      </c>
      <c r="G56" s="55">
        <f>IF(VINMAX&lt;=40,'MOSFET Database 24V'!G79,'MOSFET Database 48V'!G79)</f>
        <v>175</v>
      </c>
      <c r="H56" s="137">
        <v>175.0</v>
      </c>
      <c r="I56" s="138" t="s">
        <v>132</v>
      </c>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84"/>
      <c r="AP56" s="11">
        <f t="shared" ref="AP56:AP62" si="3">H56</f>
        <v>175</v>
      </c>
      <c r="AV56" s="136" t="str">
        <f>'MOSFET Database 48V'!N4</f>
        <v>CSD19532KTT</v>
      </c>
      <c r="AW56" s="136" t="str">
        <f t="shared" si="1"/>
        <v>CSD19532KTT , 2.92 , $0.914</v>
      </c>
      <c r="AX56" s="131">
        <f>'MOSFET Database 48V'!O35</f>
        <v>0.914</v>
      </c>
      <c r="AY56" s="132">
        <f>'MOSFET Database 48V'!O33</f>
        <v>0.14336</v>
      </c>
      <c r="AZ56" s="132">
        <f>'MOSFET Database 48V'!O61</f>
        <v>2.924595599</v>
      </c>
      <c r="BD56" s="128" t="str">
        <f>'MOSFET Database 24V'!J4</f>
        <v>CSD18535KTT</v>
      </c>
      <c r="BE56" s="128" t="str">
        <f t="shared" si="2"/>
        <v>CSD18535KTT , 5.53 , $1.266</v>
      </c>
      <c r="BF56" s="131">
        <f>'MOSFET Database 24V'!K35</f>
        <v>1.266</v>
      </c>
      <c r="BG56" s="132">
        <f>'MOSFET Database 24V'!K33</f>
        <v>0.1792</v>
      </c>
      <c r="BH56" s="132">
        <f>'MOSFET Database 24V'!K61</f>
        <v>5.533479968</v>
      </c>
    </row>
    <row r="57" ht="15.0" customHeight="1">
      <c r="A57" s="42"/>
      <c r="B57" s="139"/>
      <c r="C57" s="42"/>
      <c r="D57" s="42"/>
      <c r="E57" s="140" t="s">
        <v>133</v>
      </c>
      <c r="F57" s="141">
        <f>IF(VINMAX&lt;=40,'MOSFET Database 24V'!C70,'MOSFET Database 48V'!C70)</f>
        <v>400</v>
      </c>
      <c r="G57" s="141">
        <f>IF(VINMAX&lt;=40,'MOSFET Database 24V'!G70,'MOSFET Database 48V'!G70)</f>
        <v>400</v>
      </c>
      <c r="H57" s="142">
        <v>200.0</v>
      </c>
      <c r="I57" s="83" t="s">
        <v>58</v>
      </c>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84"/>
      <c r="AP57" s="143">
        <f t="shared" si="3"/>
        <v>200</v>
      </c>
      <c r="AV57" s="136" t="str">
        <f>'MOSFET Database 48V'!R4</f>
        <v>CSD19531Q5A</v>
      </c>
      <c r="AW57" s="128" t="str">
        <f t="shared" si="1"/>
        <v>CSD19531Q5A , 2 , $0.611</v>
      </c>
      <c r="AX57" s="131">
        <f>'MOSFET Database 48V'!S35</f>
        <v>0.611</v>
      </c>
      <c r="AY57" s="132">
        <f>'MOSFET Database 48V'!S33</f>
        <v>0.159744</v>
      </c>
      <c r="AZ57" s="132">
        <f>'MOSFET Database 48V'!S61</f>
        <v>1.996576788</v>
      </c>
      <c r="BD57" s="128" t="str">
        <f>'MOSFET Database 24V'!V4</f>
        <v>CSD19505KTT</v>
      </c>
      <c r="BE57" s="128" t="str">
        <f t="shared" si="2"/>
        <v>CSD19505KTT , 4.23 , $1.313</v>
      </c>
      <c r="BF57" s="131">
        <f>'MOSFET Database 24V'!W35</f>
        <v>1.313</v>
      </c>
      <c r="BG57" s="132">
        <f>'MOSFET Database 24V'!W33</f>
        <v>0.289664</v>
      </c>
      <c r="BH57" s="132">
        <f>'MOSFET Database 24V'!W61</f>
        <v>4.229062663</v>
      </c>
    </row>
    <row r="58" ht="15.0" customHeight="1">
      <c r="A58" s="42"/>
      <c r="B58" s="144"/>
      <c r="C58" s="42"/>
      <c r="D58" s="42"/>
      <c r="E58" s="67" t="s">
        <v>134</v>
      </c>
      <c r="F58" s="141">
        <f>IF(VINMAX&lt;=40,'MOSFET Database 24V'!C71,'MOSFET Database 48V'!C71)</f>
        <v>240</v>
      </c>
      <c r="G58" s="141">
        <f>IF(VINMAX&lt;=40,'MOSFET Database 24V'!G71,'MOSFET Database 48V'!G71)</f>
        <v>116.6254164</v>
      </c>
      <c r="H58" s="142">
        <v>200.0</v>
      </c>
      <c r="I58" s="83" t="s">
        <v>58</v>
      </c>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84"/>
      <c r="AP58" s="143">
        <f t="shared" si="3"/>
        <v>200</v>
      </c>
      <c r="AV58" s="128" t="str">
        <f>'MOSFET Database 48V'!J4</f>
        <v>CSD19532Q5B</v>
      </c>
      <c r="AW58" s="128" t="str">
        <f t="shared" si="1"/>
        <v>CSD19532Q5B , 1.55 , $0.896</v>
      </c>
      <c r="AX58" s="131">
        <f>'MOSFET Database 48V'!K35</f>
        <v>0.896</v>
      </c>
      <c r="AY58" s="132">
        <f>'MOSFET Database 48V'!K33</f>
        <v>0.498624</v>
      </c>
      <c r="AZ58" s="132">
        <f>'MOSFET Database 48V'!K61</f>
        <v>1.554238108</v>
      </c>
      <c r="BD58" s="128" t="str">
        <f>'MOSFET Database 24V'!AP4</f>
        <v>CSD18532KCS</v>
      </c>
      <c r="BE58" s="128" t="str">
        <f t="shared" si="2"/>
        <v>CSD18532KCS , 3.13 , $0.818</v>
      </c>
      <c r="BF58" s="131">
        <f>'MOSFET Database 24V'!AQ35</f>
        <v>0.818</v>
      </c>
      <c r="BG58" s="132">
        <f>'MOSFET Database 24V'!AQ33</f>
        <v>0.397824</v>
      </c>
      <c r="BH58" s="132">
        <f>'MOSFET Database 24V'!AQ61</f>
        <v>3.132600782</v>
      </c>
    </row>
    <row r="59" ht="15.0" customHeight="1">
      <c r="A59" s="42"/>
      <c r="B59" s="88"/>
      <c r="C59" s="42"/>
      <c r="D59" s="42"/>
      <c r="E59" s="67" t="s">
        <v>135</v>
      </c>
      <c r="F59" s="141">
        <f>IF(VINMAX&lt;=40,'MOSFET Database 24V'!C72,'MOSFET Database 48V'!C72)</f>
        <v>34.54647226</v>
      </c>
      <c r="G59" s="141">
        <f>IF(VINMAX&lt;=40,'MOSFET Database 24V'!G72,'MOSFET Database 48V'!G72)</f>
        <v>13.45503614</v>
      </c>
      <c r="H59" s="142">
        <v>15.0</v>
      </c>
      <c r="I59" s="83" t="s">
        <v>58</v>
      </c>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84"/>
      <c r="AP59" s="143">
        <f t="shared" si="3"/>
        <v>15</v>
      </c>
      <c r="AV59" s="128" t="str">
        <f>'MOSFET Database 48V'!V4</f>
        <v>CSD19533Q5A</v>
      </c>
      <c r="AW59" s="128" t="str">
        <f t="shared" si="1"/>
        <v>CSD19533Q5A , 1.01 , $0.48</v>
      </c>
      <c r="AX59" s="131">
        <f>'MOSFET Database 48V'!W35</f>
        <v>0.48</v>
      </c>
      <c r="AY59" s="132">
        <f>'MOSFET Database 48V'!W33</f>
        <v>0.24064</v>
      </c>
      <c r="AZ59" s="132">
        <f>'MOSFET Database 48V'!W61</f>
        <v>1.008832139</v>
      </c>
      <c r="BD59" s="128" t="str">
        <f>'MOSFET Database 24V'!AH4</f>
        <v>CSD18542KTT</v>
      </c>
      <c r="BE59" s="128" t="str">
        <f t="shared" si="2"/>
        <v>CSD18542KTT , 3.06 , $0.861</v>
      </c>
      <c r="BF59" s="131">
        <f>'MOSFET Database 24V'!AI35</f>
        <v>0.861</v>
      </c>
      <c r="BG59" s="132">
        <f>'MOSFET Database 24V'!AI33</f>
        <v>0.37632</v>
      </c>
      <c r="BH59" s="132">
        <f>'MOSFET Database 24V'!AI61</f>
        <v>3.063895974</v>
      </c>
    </row>
    <row r="60" ht="15.0" customHeight="1">
      <c r="A60" s="42"/>
      <c r="B60" s="88"/>
      <c r="C60" s="42"/>
      <c r="D60" s="42"/>
      <c r="E60" s="67" t="s">
        <v>136</v>
      </c>
      <c r="F60" s="141">
        <f>IF(VINMAX&lt;=40,'MOSFET Database 24V'!C73,'MOSFET Database 48V'!C73)</f>
        <v>9.68788885</v>
      </c>
      <c r="G60" s="141">
        <f>IF(VINMAX&lt;=40,'MOSFET Database 24V'!G73,'MOSFET Database 48V'!G73)</f>
        <v>4.843587653</v>
      </c>
      <c r="H60" s="142">
        <v>3.0</v>
      </c>
      <c r="I60" s="83" t="s">
        <v>58</v>
      </c>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84"/>
      <c r="AP60" s="143">
        <f t="shared" si="3"/>
        <v>3</v>
      </c>
      <c r="AV60" s="136" t="str">
        <f>'MOSFET Database 48V'!AD4</f>
        <v>CSD19534Q5A</v>
      </c>
      <c r="AW60" s="128" t="str">
        <f t="shared" si="1"/>
        <v>CSD19534Q5A , 0.85 , $0.335</v>
      </c>
      <c r="AX60" s="131">
        <f>'MOSFET Database 48V'!AE35</f>
        <v>0.335</v>
      </c>
      <c r="AY60" s="132">
        <f>'MOSFET Database 48V'!AE33</f>
        <v>0.369648</v>
      </c>
      <c r="AZ60" s="132">
        <f>'MOSFET Database 48V'!AE61</f>
        <v>0.8476642959</v>
      </c>
      <c r="BD60" s="128" t="str">
        <f>'MOSFET Database 24V'!N4</f>
        <v>CSD18540Q5B</v>
      </c>
      <c r="BE60" s="128" t="str">
        <f t="shared" si="2"/>
        <v>CSD18540Q5B , 3.21 , $0.867</v>
      </c>
      <c r="BF60" s="131">
        <f>'MOSFET Database 24V'!O35</f>
        <v>0.867</v>
      </c>
      <c r="BG60" s="132">
        <f>'MOSFET Database 24V'!O33</f>
        <v>0.199936</v>
      </c>
      <c r="BH60" s="132">
        <f>'MOSFET Database 24V'!O61</f>
        <v>3.210964404</v>
      </c>
    </row>
    <row r="61" ht="15.0" customHeight="1">
      <c r="A61" s="42"/>
      <c r="B61" s="144"/>
      <c r="C61" s="42"/>
      <c r="D61" s="42"/>
      <c r="E61" s="67" t="s">
        <v>137</v>
      </c>
      <c r="F61" s="141">
        <f>IF(VINMAX&lt;=40,'MOSFET Database 24V'!C74,'MOSFET Database 48V'!C74)</f>
        <v>4.975421315</v>
      </c>
      <c r="G61" s="141">
        <f>IF(VINMAX&lt;=40,'MOSFET Database 24V'!G74,'MOSFET Database 48V'!G74)</f>
        <v>2.377727406</v>
      </c>
      <c r="H61" s="142">
        <v>0.65</v>
      </c>
      <c r="I61" s="83" t="s">
        <v>58</v>
      </c>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84"/>
      <c r="AP61" s="143">
        <f t="shared" si="3"/>
        <v>0.65</v>
      </c>
      <c r="AT61" s="11"/>
      <c r="AU61" s="145"/>
      <c r="AV61" s="128" t="str">
        <f>'MOSFET Database 48V'!Z4</f>
        <v>CSD19537Q3</v>
      </c>
      <c r="AW61" s="128" t="str">
        <f t="shared" si="1"/>
        <v>CSD19537Q3 , 0.75 , $0.401</v>
      </c>
      <c r="AX61" s="131">
        <f>'MOSFET Database 48V'!AA35</f>
        <v>0.401</v>
      </c>
      <c r="AY61" s="132">
        <f>'MOSFET Database 48V'!AA33</f>
        <v>0.37352</v>
      </c>
      <c r="AZ61" s="132">
        <f>'MOSFET Database 48V'!AA61</f>
        <v>0.749979942</v>
      </c>
      <c r="BD61" s="128" t="str">
        <f>'MOSFET Database 24V'!Z4</f>
        <v>CSD18532Q5B</v>
      </c>
      <c r="BE61" s="128" t="str">
        <f t="shared" si="2"/>
        <v>CSD18532Q5B , 1.79 , $0.845</v>
      </c>
      <c r="BF61" s="131">
        <f>'MOSFET Database 24V'!AA35</f>
        <v>0.845</v>
      </c>
      <c r="BG61" s="132">
        <f>'MOSFET Database 24V'!AA33</f>
        <v>0.325632</v>
      </c>
      <c r="BH61" s="132">
        <f>'MOSFET Database 24V'!AA61</f>
        <v>1.78706407</v>
      </c>
    </row>
    <row r="62" ht="15.0" customHeight="1">
      <c r="A62" s="42"/>
      <c r="B62" s="144"/>
      <c r="C62" s="42"/>
      <c r="D62" s="42"/>
      <c r="E62" s="67"/>
      <c r="F62" s="146"/>
      <c r="G62" s="146"/>
      <c r="H62" s="147"/>
      <c r="I62" s="148"/>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84"/>
      <c r="AP62" s="11" t="str">
        <f t="shared" si="3"/>
        <v/>
      </c>
      <c r="AT62" s="11"/>
      <c r="AU62" s="145"/>
      <c r="AV62" s="128" t="str">
        <f>'MOSFET Database 48V'!AL4</f>
        <v>CSD19538Q3A</v>
      </c>
      <c r="AW62" s="128" t="str">
        <f t="shared" si="1"/>
        <v>CSD19538Q3A , 0.32 , $0.162</v>
      </c>
      <c r="AX62" s="131">
        <f>'MOSFET Database 48V'!AM35</f>
        <v>0.162</v>
      </c>
      <c r="AY62" s="132">
        <f>'MOSFET Database 48V'!AM33</f>
        <v>0.354</v>
      </c>
      <c r="AZ62" s="132">
        <f>'MOSFET Database 48V'!AM61</f>
        <v>0.3188410612</v>
      </c>
      <c r="BD62" s="128" t="str">
        <f>'MOSFET Database 24V'!AL4</f>
        <v>CSD19502Q5B</v>
      </c>
      <c r="BE62" s="128" t="str">
        <f t="shared" si="2"/>
        <v>CSD19502Q5B , 1.66 , $0.896</v>
      </c>
      <c r="BF62" s="131">
        <f>'MOSFET Database 24V'!AM35</f>
        <v>0.896</v>
      </c>
      <c r="BG62" s="132">
        <f>'MOSFET Database 24V'!AM33</f>
        <v>0.388352</v>
      </c>
      <c r="BH62" s="132">
        <f>'MOSFET Database 24V'!AM61</f>
        <v>1.656986646</v>
      </c>
    </row>
    <row r="63" ht="15.0" customHeight="1">
      <c r="A63" s="42"/>
      <c r="B63" s="149" t="s">
        <v>138</v>
      </c>
      <c r="C63" s="42"/>
      <c r="D63" s="42"/>
      <c r="E63" s="46"/>
      <c r="F63" s="146"/>
      <c r="G63" s="146"/>
      <c r="H63" s="150"/>
      <c r="I63" s="148"/>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84"/>
      <c r="AT63" s="11"/>
      <c r="AU63" s="145"/>
      <c r="AV63" s="128" t="str">
        <f>'MOSFET Database 48V'!AH4</f>
        <v>CSD19538Q2</v>
      </c>
      <c r="AW63" s="128" t="str">
        <f t="shared" si="1"/>
        <v>CSD19538Q2 , 0.25 , $0.162</v>
      </c>
      <c r="AX63" s="131">
        <f>'MOSFET Database 48V'!AI35</f>
        <v>0.162</v>
      </c>
      <c r="AY63" s="132">
        <f>'MOSFET Database 48V'!AI33</f>
        <v>0.37288</v>
      </c>
      <c r="AZ63" s="132">
        <f>'MOSFET Database 48V'!AI61</f>
        <v>0.2470477353</v>
      </c>
      <c r="BD63" s="128" t="str">
        <f>'MOSFET Database 24V'!AT4</f>
        <v>CSD18531Q5A</v>
      </c>
      <c r="BE63" s="128" t="str">
        <f t="shared" si="2"/>
        <v>CSD18531Q5A , 1.62 , $0.589</v>
      </c>
      <c r="BF63" s="131">
        <f>'MOSFET Database 24V'!AU35</f>
        <v>0.589</v>
      </c>
      <c r="BG63" s="132">
        <f>'MOSFET Database 24V'!AU33</f>
        <v>0.444544</v>
      </c>
      <c r="BH63" s="132">
        <f>'MOSFET Database 24V'!AU61</f>
        <v>1.622148648</v>
      </c>
    </row>
    <row r="64" ht="15.0" customHeight="1">
      <c r="A64" s="42"/>
      <c r="B64" s="133"/>
      <c r="C64" s="42"/>
      <c r="D64" s="42"/>
      <c r="E64" s="151" t="s">
        <v>139</v>
      </c>
      <c r="F64" s="55">
        <f>IF(VINMAX&lt;=40,'MOSFET Database 24V'!C77,'MOSFET Database 48V'!C77)</f>
        <v>1</v>
      </c>
      <c r="G64" s="55">
        <f>IF(VINMAX&lt;=40,'MOSFET Database 24V'!G77,'MOSFET Database 48V'!G77)</f>
        <v>1</v>
      </c>
      <c r="H64" s="152">
        <f>'MOSFET Database 24V'!K77</f>
        <v>1</v>
      </c>
      <c r="I64" s="83" t="s">
        <v>140</v>
      </c>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84"/>
      <c r="AT64" s="11"/>
      <c r="AU64" s="145"/>
      <c r="BD64" s="136" t="str">
        <f>'MOSFET Database 24V'!AD4</f>
        <v>CSD18532NQ5B</v>
      </c>
      <c r="BE64" s="128" t="str">
        <f t="shared" si="2"/>
        <v>CSD18532NQ5B , 1.62 , $0.845</v>
      </c>
      <c r="BF64" s="131">
        <f>'MOSFET Database 24V'!AE35</f>
        <v>0.845</v>
      </c>
      <c r="BG64" s="132">
        <f>'MOSFET Database 24V'!AE33</f>
        <v>0.339456</v>
      </c>
      <c r="BH64" s="132">
        <f>'MOSFET Database 24V'!AE61</f>
        <v>1.623169369</v>
      </c>
    </row>
    <row r="65" ht="15.0" customHeight="1">
      <c r="A65" s="42"/>
      <c r="B65" s="133"/>
      <c r="C65" s="42"/>
      <c r="D65" s="42"/>
      <c r="E65" s="67" t="s">
        <v>141</v>
      </c>
      <c r="F65" s="153">
        <f>IF(VINMAX&lt;=40,'MOSFET Database 24V'!C76,'MOSFET Database 48V'!C76)</f>
        <v>0.14336</v>
      </c>
      <c r="G65" s="153">
        <f>IF(VINMAX&lt;=40,'MOSFET Database 24V'!G76,'MOSFET Database 48V'!G76)</f>
        <v>0.199936</v>
      </c>
      <c r="H65" s="153">
        <f>'MOSFET Database 24V'!K76</f>
        <v>0.288</v>
      </c>
      <c r="I65" s="83" t="s">
        <v>88</v>
      </c>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84"/>
      <c r="AT65" s="11"/>
      <c r="AU65" s="145"/>
      <c r="BD65" s="128" t="str">
        <f>'MOSFET Database 24V'!BB4</f>
        <v>CSD19501KCS</v>
      </c>
      <c r="BE65" s="128" t="str">
        <f t="shared" si="2"/>
        <v>CSD19501KCS , 1.46 , $0.719</v>
      </c>
      <c r="BF65" s="131">
        <f>'MOSFET Database 24V'!BC35</f>
        <v>0.719</v>
      </c>
      <c r="BG65" s="132">
        <f>'MOSFET Database 24V'!BC33</f>
        <v>0.155232</v>
      </c>
      <c r="BH65" s="132">
        <f>'MOSFET Database 24V'!BC61</f>
        <v>1.4551402</v>
      </c>
    </row>
    <row r="66" ht="15.0" customHeight="1">
      <c r="A66" s="42"/>
      <c r="B66" s="133"/>
      <c r="C66" s="42"/>
      <c r="D66" s="42"/>
      <c r="E66" s="67" t="s">
        <v>142</v>
      </c>
      <c r="F66" s="153">
        <f>IF(VINMAX&lt;=40,'MOSFET Database 24V'!C78,'MOSFET Database 48V'!C78)</f>
        <v>89.3008</v>
      </c>
      <c r="G66" s="153">
        <f>IF(VINMAX&lt;=40,'MOSFET Database 24V'!G78,'MOSFET Database 48V'!G78)</f>
        <v>90.99808</v>
      </c>
      <c r="H66" s="153">
        <f>'MOSFET Database 24V'!K78</f>
        <v>93.64</v>
      </c>
      <c r="I66" s="83" t="s">
        <v>143</v>
      </c>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84"/>
      <c r="AT66" s="11"/>
      <c r="AU66" s="145"/>
      <c r="BD66" s="128" t="str">
        <f>'MOSFET Database 24V'!BF4</f>
        <v>CSD18563Q5A</v>
      </c>
      <c r="BE66" s="128" t="str">
        <f t="shared" si="2"/>
        <v>CSD18563Q5A , 1.53 , $0.477</v>
      </c>
      <c r="BF66" s="131">
        <f>'MOSFET Database 24V'!BG35</f>
        <v>0.477</v>
      </c>
      <c r="BG66" s="132">
        <f>'MOSFET Database 24V'!BG33</f>
        <v>0.169728</v>
      </c>
      <c r="BH66" s="132">
        <f>'MOSFET Database 24V'!BG61</f>
        <v>1.530188808</v>
      </c>
    </row>
    <row r="67" ht="15.0" customHeight="1">
      <c r="A67" s="42"/>
      <c r="B67" s="133"/>
      <c r="C67" s="42"/>
      <c r="D67" s="42"/>
      <c r="E67" s="67" t="s">
        <v>144</v>
      </c>
      <c r="F67" s="153">
        <f>IF(VINMAX&lt;=40,'MOSFET Database 24V'!C81,'MOSFET Database 48V'!C81)</f>
        <v>8.410880564</v>
      </c>
      <c r="G67" s="153">
        <f>IF(VINMAX&lt;=40,'MOSFET Database 24V'!G81,'MOSFET Database 48V'!G81)</f>
        <v>3.210964404</v>
      </c>
      <c r="H67" s="153">
        <f>'MOSFET Database 24V'!K81</f>
        <v>3.467084457</v>
      </c>
      <c r="I67" s="154"/>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84"/>
      <c r="AT67" s="11"/>
      <c r="AU67" s="155"/>
      <c r="BD67" s="128" t="str">
        <f>'MOSFET Database 24V'!BJ4</f>
        <v>CSD19503KCS</v>
      </c>
      <c r="BE67" s="128" t="str">
        <f t="shared" si="2"/>
        <v>CSD19503KCS , 1.25 , $0.587</v>
      </c>
      <c r="BF67" s="131">
        <f>'MOSFET Database 24V'!BK35</f>
        <v>0.587</v>
      </c>
      <c r="BG67" s="132">
        <f>'MOSFET Database 24V'!BK33</f>
        <v>0.232576</v>
      </c>
      <c r="BH67" s="132">
        <f>'MOSFET Database 24V'!BK61</f>
        <v>1.249133392</v>
      </c>
    </row>
    <row r="68" ht="15.0" customHeight="1">
      <c r="A68" s="42"/>
      <c r="B68" s="139"/>
      <c r="C68" s="42"/>
      <c r="D68" s="42"/>
      <c r="E68" s="156" t="s">
        <v>145</v>
      </c>
      <c r="F68" s="157" t="str">
        <f>IF(VINMAX&lt;=40,HYPERLINK('MOSFET Database 24V'!C82,SFET24_1),HYPERLINK('MOSFET Database 48V'!C82,SFET48_1))</f>
        <v>CSD18536KTT</v>
      </c>
      <c r="G68" s="157" t="str">
        <f>IF(VINMAX&lt;=40,HYPERLINK('MOSFET Database 24V'!G82,SFET24_2),HYPERLINK('MOSFET Database 48V'!G82,SFET48_2))</f>
        <v>CSD18540Q5B</v>
      </c>
      <c r="H68" s="52" t="s">
        <v>146</v>
      </c>
      <c r="I68" s="154"/>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84"/>
      <c r="AP68" s="11"/>
      <c r="AQ68" s="11"/>
      <c r="AR68" s="11"/>
      <c r="AS68" s="11"/>
      <c r="AT68" s="11"/>
      <c r="AU68" s="158"/>
      <c r="AV68" s="11"/>
      <c r="AW68" s="11"/>
      <c r="AX68" s="11"/>
      <c r="AY68" s="11"/>
      <c r="AZ68" s="11"/>
      <c r="BA68" s="11"/>
      <c r="BB68" s="11"/>
      <c r="BC68" s="11"/>
      <c r="BD68" s="128" t="str">
        <f>'MOSFET Database 24V'!AX4</f>
        <v>CSD18533Q5A</v>
      </c>
      <c r="BE68" s="128" t="str">
        <f t="shared" si="2"/>
        <v>CSD18533Q5A , 1.16 , $0.464</v>
      </c>
      <c r="BF68" s="131">
        <f>'MOSFET Database 24V'!AY35</f>
        <v>0.464</v>
      </c>
      <c r="BG68" s="132">
        <f>'MOSFET Database 24V'!AY33</f>
        <v>0.1416</v>
      </c>
      <c r="BH68" s="132">
        <f>'MOSFET Database 24V'!AY61</f>
        <v>1.155106374</v>
      </c>
    </row>
    <row r="69" ht="15.0" customHeight="1">
      <c r="A69" s="42"/>
      <c r="B69" s="144"/>
      <c r="C69" s="42"/>
      <c r="D69" s="42"/>
      <c r="E69" s="120" t="s">
        <v>147</v>
      </c>
      <c r="F69" s="159">
        <f>IF(VINMAX&lt;=40,'MOSFET Database 24V'!C84,'MOSFET Database 48V'!C84)</f>
        <v>1.894</v>
      </c>
      <c r="G69" s="159">
        <f>IF(VINMAX&lt;=40,'MOSFET Database 24V'!G84,'MOSFET Database 48V'!G84)</f>
        <v>0.867</v>
      </c>
      <c r="H69" s="52" t="s">
        <v>148</v>
      </c>
      <c r="I69" s="154"/>
      <c r="J69" s="160"/>
      <c r="K69" s="161" t="s">
        <v>149</v>
      </c>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60"/>
      <c r="AO69" s="84"/>
      <c r="AU69" s="11"/>
      <c r="BD69" s="136" t="str">
        <f>'MOSFET Database 24V'!BN4</f>
        <v>CSD18534Q5A</v>
      </c>
      <c r="BE69" s="128" t="str">
        <f t="shared" si="2"/>
        <v>CSD18534Q5A , 0.94 , $0.326</v>
      </c>
      <c r="BF69" s="131">
        <f>'MOSFET Database 24V'!BO35</f>
        <v>0.326</v>
      </c>
      <c r="BG69" s="132">
        <f>'MOSFET Database 24V'!BO33</f>
        <v>0.2352</v>
      </c>
      <c r="BH69" s="132">
        <f>'MOSFET Database 24V'!BO61</f>
        <v>0.9424446578</v>
      </c>
    </row>
    <row r="70" ht="15.0" customHeight="1">
      <c r="A70" s="42"/>
      <c r="B70" s="162"/>
      <c r="C70" s="73"/>
      <c r="D70" s="73"/>
      <c r="E70" s="163" t="s">
        <v>150</v>
      </c>
      <c r="F70" s="164">
        <f>NUMFETS1*F69</f>
        <v>1.894</v>
      </c>
      <c r="G70" s="164">
        <f>G64*G69</f>
        <v>0.867</v>
      </c>
      <c r="H70" s="165"/>
      <c r="I70" s="166"/>
      <c r="J70" s="167"/>
      <c r="K70" s="168"/>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96"/>
      <c r="AO70" s="169"/>
      <c r="BD70" s="128" t="str">
        <f>'MOSFET Database 24V'!BR4</f>
        <v>CSD18543Q3A</v>
      </c>
      <c r="BE70" s="128" t="str">
        <f t="shared" si="2"/>
        <v>CSD18543Q3A , 0.77 , $0.258</v>
      </c>
      <c r="BF70" s="131">
        <f>'MOSFET Database 24V'!BS35</f>
        <v>0.258</v>
      </c>
      <c r="BG70" s="132">
        <f>'MOSFET Database 24V'!BS33</f>
        <v>0.231264</v>
      </c>
      <c r="BH70" s="132">
        <f>'MOSFET Database 24V'!BS61</f>
        <v>0.7719631719</v>
      </c>
    </row>
    <row r="71" ht="12.0" customHeight="1">
      <c r="A71" s="42"/>
      <c r="B71" s="144"/>
      <c r="C71" s="42"/>
      <c r="D71" s="42"/>
      <c r="E71" s="151"/>
      <c r="F71" s="170"/>
      <c r="G71" s="146"/>
      <c r="H71" s="170"/>
      <c r="I71" s="146"/>
      <c r="J71" s="42"/>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46"/>
      <c r="AO71" s="172"/>
      <c r="BD71" s="128" t="str">
        <f>'MOSFET Database 24V'!BV4</f>
        <v>CSD18537NQ5A</v>
      </c>
      <c r="BE71" s="128" t="str">
        <f t="shared" si="2"/>
        <v>CSD18537NQ5A , 0.58 , $0.273</v>
      </c>
      <c r="BF71" s="131">
        <f>'MOSFET Database 24V'!BW35</f>
        <v>0.273</v>
      </c>
      <c r="BG71" s="132">
        <f>'MOSFET Database 24V'!BW33</f>
        <v>0.32864</v>
      </c>
      <c r="BH71" s="132">
        <f>'MOSFET Database 24V'!BW61</f>
        <v>0.5842356594</v>
      </c>
    </row>
    <row r="72" ht="12.0" customHeight="1">
      <c r="A72" s="42"/>
      <c r="B72" s="144"/>
      <c r="C72" s="42"/>
      <c r="D72" s="42"/>
      <c r="E72" s="151"/>
      <c r="F72" s="173" t="s">
        <v>151</v>
      </c>
      <c r="G72" s="146"/>
      <c r="H72" s="146"/>
      <c r="I72" s="146"/>
      <c r="J72" s="42"/>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46"/>
      <c r="AO72" s="174"/>
    </row>
    <row r="73" ht="12.0" customHeight="1">
      <c r="A73" s="42"/>
      <c r="B73" s="144"/>
      <c r="C73" s="42"/>
      <c r="D73" s="42"/>
      <c r="E73" s="151"/>
      <c r="F73" s="173" t="s">
        <v>152</v>
      </c>
      <c r="G73" s="146"/>
      <c r="H73" s="146"/>
      <c r="I73" s="146"/>
      <c r="J73" s="42"/>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46"/>
      <c r="AO73" s="174"/>
    </row>
    <row r="74" ht="12.0" customHeight="1">
      <c r="A74" s="42"/>
      <c r="B74" s="144"/>
      <c r="C74" s="42"/>
      <c r="D74" s="42"/>
      <c r="E74" s="151"/>
      <c r="F74" s="175"/>
      <c r="G74" s="146"/>
      <c r="H74" s="175"/>
      <c r="I74" s="146"/>
      <c r="J74" s="42"/>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46"/>
      <c r="AO74" s="176"/>
    </row>
    <row r="75" ht="12.0" customHeight="1">
      <c r="A75" s="42"/>
      <c r="B75" s="76" t="s">
        <v>153</v>
      </c>
      <c r="C75" s="50"/>
      <c r="D75" s="177"/>
      <c r="E75" s="178" t="s">
        <v>154</v>
      </c>
      <c r="F75" s="179" t="s">
        <v>125</v>
      </c>
      <c r="G75" s="180"/>
      <c r="H75" s="170"/>
      <c r="I75" s="17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80"/>
      <c r="AP75" s="11"/>
    </row>
    <row r="76" ht="12.0" customHeight="1">
      <c r="A76" s="42"/>
      <c r="B76" s="181"/>
      <c r="C76" s="42"/>
      <c r="D76" s="42"/>
      <c r="E76" s="46"/>
      <c r="F76" s="46"/>
      <c r="G76" s="154"/>
      <c r="H76" s="146"/>
      <c r="I76" s="146"/>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84"/>
      <c r="AP76" s="11"/>
    </row>
    <row r="77" ht="12.75" customHeight="1">
      <c r="A77" s="42"/>
      <c r="B77" s="54"/>
      <c r="C77" s="42"/>
      <c r="D77" s="42"/>
      <c r="E77" s="46"/>
      <c r="F77" s="46"/>
      <c r="G77" s="154"/>
      <c r="H77" s="146"/>
      <c r="I77" s="146"/>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84"/>
    </row>
    <row r="78" ht="12.0" customHeight="1">
      <c r="A78" s="42"/>
      <c r="B78" s="54"/>
      <c r="C78" s="42"/>
      <c r="D78" s="42"/>
      <c r="E78" s="182" t="s">
        <v>155</v>
      </c>
      <c r="F78" s="46"/>
      <c r="G78" s="154"/>
      <c r="H78" s="146"/>
      <c r="I78" s="146"/>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84"/>
    </row>
    <row r="79" ht="15.0" customHeight="1">
      <c r="A79" s="42"/>
      <c r="B79" s="54"/>
      <c r="C79" s="42"/>
      <c r="D79" s="42"/>
      <c r="E79" s="183" t="s">
        <v>156</v>
      </c>
      <c r="F79" s="124">
        <f>IF(F75=F54,Start_up!M2,IF(F75=G54,Start_up!M121,IF(F75=H54,Start_up!M240)))</f>
        <v>281.25</v>
      </c>
      <c r="G79" s="138" t="s">
        <v>77</v>
      </c>
      <c r="H79" s="184"/>
      <c r="I79" s="184"/>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84"/>
    </row>
    <row r="80" ht="15.0" customHeight="1">
      <c r="A80" s="42"/>
      <c r="B80" s="54"/>
      <c r="C80" s="42"/>
      <c r="D80" s="42"/>
      <c r="E80" s="183" t="s">
        <v>157</v>
      </c>
      <c r="F80" s="185">
        <f>IF(F75=F54,Start_up!O2,IF(F75=G54,Start_up!O121,IF(F75=H54,Start_up!O240)))</f>
        <v>0.6153846154</v>
      </c>
      <c r="G80" s="138"/>
      <c r="H80" s="184"/>
      <c r="I80" s="184"/>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84"/>
    </row>
    <row r="81" ht="15.0" customHeight="1">
      <c r="A81" s="42"/>
      <c r="B81" s="181"/>
      <c r="C81" s="42"/>
      <c r="D81" s="46"/>
      <c r="E81" s="183" t="s">
        <v>158</v>
      </c>
      <c r="F81" s="124">
        <f>IF(F75=F54,Equations!F58,IF(F75=G54,Equations!G58,IF(F75=H54,Equations!H58)))</f>
        <v>421.875</v>
      </c>
      <c r="G81" s="138" t="s">
        <v>77</v>
      </c>
      <c r="H81" s="184"/>
      <c r="I81" s="184"/>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84"/>
    </row>
    <row r="82" ht="15.0" customHeight="1">
      <c r="A82" s="42"/>
      <c r="B82" s="54"/>
      <c r="C82" s="42"/>
      <c r="D82" s="46"/>
      <c r="E82" s="183" t="s">
        <v>159</v>
      </c>
      <c r="F82" s="124">
        <f>IF(F75=F54,Equations!F59,IF(F75=G54,Equations!G59,IF(F75=H54,Equations!H59)))</f>
        <v>8964.84375</v>
      </c>
      <c r="G82" s="138" t="s">
        <v>160</v>
      </c>
      <c r="H82" s="184"/>
      <c r="I82" s="184"/>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84"/>
    </row>
    <row r="83" ht="15.0" customHeight="1">
      <c r="A83" s="42"/>
      <c r="B83" s="54"/>
      <c r="C83" s="42"/>
      <c r="D83" s="46"/>
      <c r="E83" s="183" t="s">
        <v>161</v>
      </c>
      <c r="F83" s="82">
        <v>600.0</v>
      </c>
      <c r="G83" s="138" t="s">
        <v>160</v>
      </c>
      <c r="H83" s="184"/>
      <c r="I83" s="184"/>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84"/>
      <c r="AX83" s="11"/>
    </row>
    <row r="84" ht="15.0" customHeight="1">
      <c r="A84" s="42"/>
      <c r="B84" s="54"/>
      <c r="C84" s="42"/>
      <c r="D84" s="46"/>
      <c r="E84" s="183" t="s">
        <v>162</v>
      </c>
      <c r="F84" s="124">
        <f>IF(F75=F54,Equations!F61,IF(F75=G54,Equations!G61,IF(F75=H54,Equations!H61)))</f>
        <v>28.23529412</v>
      </c>
      <c r="G84" s="138" t="s">
        <v>77</v>
      </c>
      <c r="H84" s="184"/>
      <c r="I84" s="184"/>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84"/>
    </row>
    <row r="85" ht="15.0" customHeight="1">
      <c r="A85" s="42"/>
      <c r="B85" s="88"/>
      <c r="C85" s="42"/>
      <c r="D85" s="46"/>
      <c r="E85" s="183" t="s">
        <v>163</v>
      </c>
      <c r="F85" s="124">
        <f>SWITCH(F75,F54,Equations!F62,G54,Equations!G62,H54,Equations!H62)</f>
        <v>8.251254688</v>
      </c>
      <c r="G85" s="138"/>
      <c r="H85" s="184"/>
      <c r="I85" s="184"/>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84"/>
    </row>
    <row r="86" ht="15.0" customHeight="1">
      <c r="A86" s="42"/>
      <c r="B86" s="54"/>
      <c r="C86" s="42"/>
      <c r="D86" s="46"/>
      <c r="E86" s="183" t="s">
        <v>164</v>
      </c>
      <c r="F86" s="82" t="s">
        <v>84</v>
      </c>
      <c r="G86" s="83"/>
      <c r="H86" s="184"/>
      <c r="I86" s="184"/>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84"/>
    </row>
    <row r="87" ht="15.0" customHeight="1">
      <c r="A87" s="42"/>
      <c r="B87" s="54"/>
      <c r="C87" s="42"/>
      <c r="D87" s="46"/>
      <c r="E87" s="183" t="s">
        <v>165</v>
      </c>
      <c r="F87" s="186">
        <f>SWITCH(F75,F54,dv_dt_recommendations!J28,G54,dv_dt_recommendations!J73,H54,dv_dt_recommendations!J118)</f>
        <v>1.191241586</v>
      </c>
      <c r="G87" s="83" t="s">
        <v>166</v>
      </c>
      <c r="H87" s="71"/>
      <c r="I87" s="71"/>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84"/>
    </row>
    <row r="88" ht="15.0" customHeight="1">
      <c r="A88" s="42"/>
      <c r="B88" s="54"/>
      <c r="C88" s="42"/>
      <c r="D88" s="46"/>
      <c r="E88" s="183" t="s">
        <v>167</v>
      </c>
      <c r="F88" s="186">
        <f>SWITCH(F75,F54,dv_dt_recommendations!J29,G54,dv_dt_recommendations!J74,H54,dv_dt_recommendations!J119)</f>
        <v>0.1070855982</v>
      </c>
      <c r="G88" s="83" t="s">
        <v>166</v>
      </c>
      <c r="H88" s="71"/>
      <c r="I88" s="71"/>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84"/>
    </row>
    <row r="89" ht="16.5" customHeight="1">
      <c r="A89" s="42"/>
      <c r="B89" s="187" t="s">
        <v>168</v>
      </c>
      <c r="C89" s="42"/>
      <c r="D89" s="46"/>
      <c r="E89" s="183" t="s">
        <v>169</v>
      </c>
      <c r="F89" s="82">
        <v>0.12</v>
      </c>
      <c r="G89" s="83" t="s">
        <v>166</v>
      </c>
      <c r="H89" s="71"/>
      <c r="I89" s="71"/>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84"/>
    </row>
    <row r="90" ht="16.5" customHeight="1">
      <c r="A90" s="42"/>
      <c r="B90" s="133"/>
      <c r="C90" s="42"/>
      <c r="D90" s="46"/>
      <c r="E90" s="183" t="s">
        <v>170</v>
      </c>
      <c r="F90" s="186">
        <f>SWITCH(F75,F54,Equations!F66,G54,Equations!G66,H54,Equations!H66)</f>
        <v>133.3333333</v>
      </c>
      <c r="G90" s="188" t="s">
        <v>160</v>
      </c>
      <c r="H90" s="146"/>
      <c r="I90" s="146"/>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84"/>
    </row>
    <row r="91" ht="16.5" customHeight="1">
      <c r="A91" s="42"/>
      <c r="B91" s="133"/>
      <c r="C91" s="189"/>
      <c r="D91" s="46"/>
      <c r="E91" s="183" t="s">
        <v>171</v>
      </c>
      <c r="F91" s="82">
        <v>150.0</v>
      </c>
      <c r="G91" s="83" t="s">
        <v>160</v>
      </c>
      <c r="H91" s="71"/>
      <c r="I91" s="71"/>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84"/>
    </row>
    <row r="92" ht="16.5" customHeight="1">
      <c r="A92" s="42"/>
      <c r="B92" s="133"/>
      <c r="C92" s="189"/>
      <c r="D92" s="46"/>
      <c r="E92" s="183" t="s">
        <v>172</v>
      </c>
      <c r="F92" s="186">
        <f>SWITCH(F75,F54,Equations!F68,G54,Equations!G68,H54,Equations!H68)</f>
        <v>0.1066666667</v>
      </c>
      <c r="G92" s="83" t="s">
        <v>166</v>
      </c>
      <c r="H92" s="71"/>
      <c r="I92" s="71"/>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84"/>
    </row>
    <row r="93" ht="15.0" customHeight="1">
      <c r="A93" s="42"/>
      <c r="B93" s="133"/>
      <c r="C93" s="189"/>
      <c r="D93" s="46"/>
      <c r="E93" s="183" t="s">
        <v>173</v>
      </c>
      <c r="F93" s="186">
        <f>SWITCH(F75,F54,Equations!F75,G54,Equations!G75,H54,Equations!H75)</f>
        <v>10.02674161</v>
      </c>
      <c r="G93" s="83"/>
      <c r="H93" s="71"/>
      <c r="I93" s="71"/>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84"/>
    </row>
    <row r="94" ht="15.0" customHeight="1">
      <c r="A94" s="42"/>
      <c r="B94" s="133"/>
      <c r="C94" s="189"/>
      <c r="D94" s="46"/>
      <c r="E94" s="183" t="s">
        <v>174</v>
      </c>
      <c r="F94" s="190">
        <f>F31</f>
        <v>1</v>
      </c>
      <c r="G94" s="83" t="s">
        <v>77</v>
      </c>
      <c r="H94" s="71"/>
      <c r="I94" s="71"/>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84"/>
    </row>
    <row r="95" ht="14.25" customHeight="1">
      <c r="A95" s="42"/>
      <c r="B95" s="139"/>
      <c r="C95" s="189"/>
      <c r="D95" s="46"/>
      <c r="E95" s="183" t="s">
        <v>175</v>
      </c>
      <c r="F95" s="186">
        <f>SWITCH(F75,F54,Equations!F80,G54,Equations!G80,H54,Equations!H80)</f>
        <v>21.25</v>
      </c>
      <c r="G95" s="83" t="s">
        <v>160</v>
      </c>
      <c r="H95" s="71"/>
      <c r="I95" s="71"/>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84"/>
    </row>
    <row r="96" ht="15.0" customHeight="1">
      <c r="A96" s="42"/>
      <c r="B96" s="54"/>
      <c r="C96" s="42"/>
      <c r="D96" s="46"/>
      <c r="E96" s="183" t="s">
        <v>176</v>
      </c>
      <c r="F96" s="82">
        <v>22.0</v>
      </c>
      <c r="G96" s="83" t="s">
        <v>160</v>
      </c>
      <c r="H96" s="71"/>
      <c r="I96" s="71"/>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84"/>
    </row>
    <row r="97" ht="15.0" customHeight="1">
      <c r="A97" s="42"/>
      <c r="B97" s="54"/>
      <c r="C97" s="42"/>
      <c r="D97" s="46"/>
      <c r="E97" s="183" t="s">
        <v>177</v>
      </c>
      <c r="F97" s="186">
        <f>SWITCH(F75,F54,Equations!F82,G54,Equations!G82,H54,Equations!H82)</f>
        <v>1.035294118</v>
      </c>
      <c r="G97" s="83" t="s">
        <v>77</v>
      </c>
      <c r="H97" s="71"/>
      <c r="I97" s="71"/>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84" t="s">
        <v>178</v>
      </c>
      <c r="AP97" s="11" t="s">
        <v>179</v>
      </c>
    </row>
    <row r="98" ht="15.0" customHeight="1">
      <c r="A98" s="42"/>
      <c r="B98" s="54"/>
      <c r="C98" s="42"/>
      <c r="D98" s="46"/>
      <c r="E98" s="183" t="s">
        <v>180</v>
      </c>
      <c r="F98" s="186">
        <f>SWITCH(F75,F54,Equations!F84,G54,Equations!G84,H54,Equations!H84)</f>
        <v>8.251254688</v>
      </c>
      <c r="G98" s="83"/>
      <c r="H98" s="71"/>
      <c r="I98" s="71"/>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84"/>
      <c r="AP98" s="11" t="s">
        <v>181</v>
      </c>
    </row>
    <row r="99" ht="15.0" customHeight="1">
      <c r="A99" s="42"/>
      <c r="B99" s="54"/>
      <c r="C99" s="42"/>
      <c r="D99" s="46"/>
      <c r="E99" s="183" t="s">
        <v>182</v>
      </c>
      <c r="F99" s="191">
        <f>SWITCH(F75,F54,Equations!F111,G54,Equations!G111,H54,Equations!H111)</f>
        <v>16</v>
      </c>
      <c r="G99" s="83" t="s">
        <v>77</v>
      </c>
      <c r="H99" s="71"/>
      <c r="I99" s="71"/>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84"/>
      <c r="AP99" s="108" t="s">
        <v>183</v>
      </c>
    </row>
    <row r="100" ht="15.0" customHeight="1">
      <c r="A100" s="42"/>
      <c r="B100" s="54"/>
      <c r="C100" s="42"/>
      <c r="D100" s="46"/>
      <c r="E100" s="183" t="s">
        <v>184</v>
      </c>
      <c r="F100" s="186">
        <f>SWITCH(F75,F54,Equations!F114,G54,Equations!G114,H54,Equations!H114)</f>
        <v>206.9423529</v>
      </c>
      <c r="G100" s="83" t="s">
        <v>77</v>
      </c>
      <c r="H100" s="71"/>
      <c r="I100" s="71"/>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84"/>
      <c r="AP100" s="108" t="s">
        <v>185</v>
      </c>
    </row>
    <row r="101" ht="15.0" customHeight="1">
      <c r="A101" s="42"/>
      <c r="B101" s="76" t="s">
        <v>186</v>
      </c>
      <c r="C101" s="97"/>
      <c r="D101" s="50"/>
      <c r="E101" s="77" t="s">
        <v>187</v>
      </c>
      <c r="F101" s="78" t="s">
        <v>179</v>
      </c>
      <c r="G101" s="192"/>
      <c r="H101" s="193"/>
      <c r="I101" s="193"/>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80"/>
    </row>
    <row r="102" ht="15.0" customHeight="1">
      <c r="A102" s="42"/>
      <c r="B102" s="54"/>
      <c r="C102" s="42"/>
      <c r="D102" s="42"/>
      <c r="E102" s="67" t="s">
        <v>188</v>
      </c>
      <c r="F102" s="85">
        <v>12.0</v>
      </c>
      <c r="G102" s="194" t="s">
        <v>54</v>
      </c>
      <c r="H102" s="71"/>
      <c r="I102" s="71"/>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84"/>
    </row>
    <row r="103" ht="15.0" customHeight="1">
      <c r="A103" s="42"/>
      <c r="B103" s="54"/>
      <c r="C103" s="42"/>
      <c r="D103" s="42"/>
      <c r="E103" s="67" t="s">
        <v>189</v>
      </c>
      <c r="F103" s="85">
        <v>10.0</v>
      </c>
      <c r="G103" s="194" t="s">
        <v>54</v>
      </c>
      <c r="H103" s="71"/>
      <c r="I103" s="71"/>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84"/>
    </row>
    <row r="104" ht="15.0" customHeight="1">
      <c r="A104" s="42"/>
      <c r="B104" s="54"/>
      <c r="C104" s="42"/>
      <c r="D104" s="42"/>
      <c r="E104" s="67" t="s">
        <v>190</v>
      </c>
      <c r="F104" s="85">
        <v>30.0</v>
      </c>
      <c r="G104" s="194" t="s">
        <v>54</v>
      </c>
      <c r="H104" s="71"/>
      <c r="I104" s="71"/>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84"/>
    </row>
    <row r="105" ht="15.0" customHeight="1">
      <c r="A105" s="42"/>
      <c r="B105" s="54"/>
      <c r="C105" s="42"/>
      <c r="D105" s="42"/>
      <c r="E105" s="120" t="s">
        <v>191</v>
      </c>
      <c r="F105" s="82">
        <v>63.0</v>
      </c>
      <c r="G105" s="194" t="s">
        <v>54</v>
      </c>
      <c r="H105" s="71"/>
      <c r="I105" s="71"/>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84"/>
    </row>
    <row r="106" ht="15.0" customHeight="1">
      <c r="A106" s="42"/>
      <c r="B106" s="54"/>
      <c r="C106" s="42"/>
      <c r="D106" s="42"/>
      <c r="E106" s="195" t="s">
        <v>192</v>
      </c>
      <c r="F106" s="196">
        <f>IF(F101="Option A",Equations!F132,Equations!G132)</f>
        <v>95.23809524</v>
      </c>
      <c r="G106" s="194" t="s">
        <v>193</v>
      </c>
      <c r="H106" s="71"/>
      <c r="I106" s="71"/>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84"/>
    </row>
    <row r="107" ht="15.0" customHeight="1">
      <c r="A107" s="42"/>
      <c r="B107" s="54"/>
      <c r="C107" s="42"/>
      <c r="D107" s="42"/>
      <c r="E107" s="120" t="s">
        <v>194</v>
      </c>
      <c r="F107" s="196">
        <f>IF(F101="Option A",Equations!F133,Equations!G133)</f>
        <v>21.16402116</v>
      </c>
      <c r="G107" s="194" t="s">
        <v>195</v>
      </c>
      <c r="H107" s="71"/>
      <c r="I107" s="71"/>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84"/>
    </row>
    <row r="108" ht="15.0" customHeight="1">
      <c r="A108" s="42"/>
      <c r="B108" s="197"/>
      <c r="C108" s="42"/>
      <c r="D108" s="42"/>
      <c r="E108" s="120" t="s">
        <v>196</v>
      </c>
      <c r="F108" s="196">
        <f>IF(F101="Option A",Equations!F134,Equations!G134)</f>
        <v>10.58201058</v>
      </c>
      <c r="G108" s="194" t="s">
        <v>197</v>
      </c>
      <c r="H108" s="71"/>
      <c r="I108" s="71"/>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84"/>
    </row>
    <row r="109" ht="15.0" customHeight="1">
      <c r="A109" s="42"/>
      <c r="B109" s="54"/>
      <c r="C109" s="42"/>
      <c r="D109" s="42"/>
      <c r="E109" s="120" t="s">
        <v>198</v>
      </c>
      <c r="F109" s="196" t="str">
        <f>IF(F101="Option A",Equations!F135,Equations!G135)</f>
        <v/>
      </c>
      <c r="G109" s="194" t="s">
        <v>199</v>
      </c>
      <c r="H109" s="71"/>
      <c r="I109" s="71"/>
      <c r="J109" s="42"/>
      <c r="K109" s="42"/>
      <c r="L109" s="198"/>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84"/>
    </row>
    <row r="110" ht="15.0" customHeight="1">
      <c r="A110" s="42"/>
      <c r="B110" s="54"/>
      <c r="C110" s="42"/>
      <c r="D110" s="42"/>
      <c r="E110" s="67" t="s">
        <v>200</v>
      </c>
      <c r="F110" s="85">
        <v>95.24</v>
      </c>
      <c r="G110" s="194" t="s">
        <v>201</v>
      </c>
      <c r="H110" s="71"/>
      <c r="I110" s="71"/>
      <c r="J110" s="42"/>
      <c r="K110" s="42"/>
      <c r="L110" s="198"/>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84"/>
    </row>
    <row r="111" ht="15.0" customHeight="1">
      <c r="A111" s="42"/>
      <c r="B111" s="54"/>
      <c r="C111" s="42"/>
      <c r="D111" s="42"/>
      <c r="E111" s="67" t="s">
        <v>202</v>
      </c>
      <c r="F111" s="85">
        <v>21.16</v>
      </c>
      <c r="G111" s="194" t="s">
        <v>203</v>
      </c>
      <c r="H111" s="71"/>
      <c r="I111" s="71"/>
      <c r="J111" s="42"/>
      <c r="K111" s="42"/>
      <c r="L111" s="198"/>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84"/>
    </row>
    <row r="112" ht="15.0" customHeight="1">
      <c r="A112" s="42"/>
      <c r="B112" s="54"/>
      <c r="C112" s="42"/>
      <c r="D112" s="42"/>
      <c r="E112" s="67" t="s">
        <v>204</v>
      </c>
      <c r="F112" s="85">
        <v>10.58</v>
      </c>
      <c r="G112" s="194" t="s">
        <v>205</v>
      </c>
      <c r="H112" s="71"/>
      <c r="I112" s="71"/>
      <c r="J112" s="42"/>
      <c r="K112" s="42"/>
      <c r="L112" s="198"/>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84"/>
    </row>
    <row r="113" ht="15.0" customHeight="1">
      <c r="A113" s="42"/>
      <c r="B113" s="54"/>
      <c r="C113" s="42"/>
      <c r="D113" s="42"/>
      <c r="E113" s="67" t="s">
        <v>206</v>
      </c>
      <c r="F113" s="82">
        <v>3.74</v>
      </c>
      <c r="G113" s="194" t="s">
        <v>207</v>
      </c>
      <c r="H113" s="71"/>
      <c r="I113" s="71"/>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84"/>
    </row>
    <row r="114" ht="15.0" customHeight="1">
      <c r="A114" s="42"/>
      <c r="B114" s="54"/>
      <c r="C114" s="42"/>
      <c r="D114" s="42"/>
      <c r="E114" s="42"/>
      <c r="F114" s="42"/>
      <c r="G114" s="199"/>
      <c r="H114" s="44"/>
      <c r="I114" s="44"/>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84"/>
    </row>
    <row r="115" ht="15.0" customHeight="1">
      <c r="A115" s="42"/>
      <c r="B115" s="54"/>
      <c r="C115" s="200" t="s">
        <v>208</v>
      </c>
      <c r="D115" s="201" t="s">
        <v>209</v>
      </c>
      <c r="E115" s="201" t="s">
        <v>210</v>
      </c>
      <c r="F115" s="201" t="s">
        <v>211</v>
      </c>
      <c r="G115" s="199"/>
      <c r="H115" s="44"/>
      <c r="I115" s="44"/>
      <c r="J115" s="46"/>
      <c r="K115" s="46"/>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84"/>
    </row>
    <row r="116" ht="15.0" customHeight="1">
      <c r="A116" s="42"/>
      <c r="B116" s="54"/>
      <c r="C116" s="91" t="s">
        <v>212</v>
      </c>
      <c r="D116" s="202">
        <f>IF($F$101="Option A",Equations!F136,Equations!G136)</f>
        <v>10.94442379</v>
      </c>
      <c r="E116" s="203">
        <f>IF($F$101="Option A",Equations!F137,Equations!G137)</f>
        <v>12.0016153</v>
      </c>
      <c r="F116" s="204">
        <f>IF($F$101="Option A",Equations!F138,Equations!G138)</f>
        <v>13.05880681</v>
      </c>
      <c r="G116" s="194" t="s">
        <v>54</v>
      </c>
      <c r="H116" s="71"/>
      <c r="I116" s="71"/>
      <c r="J116" s="46"/>
      <c r="K116" s="46"/>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84"/>
    </row>
    <row r="117" ht="15.0" customHeight="1">
      <c r="A117" s="42"/>
      <c r="B117" s="54"/>
      <c r="C117" s="91" t="s">
        <v>213</v>
      </c>
      <c r="D117" s="205">
        <f>IF($F$101="Option A",Equations!F139,Equations!G139)</f>
        <v>9.801543793</v>
      </c>
      <c r="E117" s="186">
        <f>IF($F$101="Option A",Equations!F140,Equations!G140)</f>
        <v>10.0015753</v>
      </c>
      <c r="F117" s="206">
        <f>IF($F$101="Option A",Equations!F141,Equations!G141)</f>
        <v>10.20160681</v>
      </c>
      <c r="G117" s="194" t="s">
        <v>54</v>
      </c>
      <c r="H117" s="71"/>
      <c r="I117" s="71"/>
      <c r="J117" s="46"/>
      <c r="K117" s="46"/>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84"/>
    </row>
    <row r="118" ht="15.0" customHeight="1">
      <c r="A118" s="42"/>
      <c r="B118" s="54"/>
      <c r="C118" s="91" t="s">
        <v>214</v>
      </c>
      <c r="D118" s="205">
        <f>IF($F$101="Option A",Equations!F142,Equations!G142)</f>
        <v>29.40463138</v>
      </c>
      <c r="E118" s="186">
        <f>IF($F$101="Option A",Equations!F143,Equations!G143)</f>
        <v>30.0047259</v>
      </c>
      <c r="F118" s="206">
        <f>IF($F$101="Option A",Equations!F144,Equations!G144)</f>
        <v>30.60482042</v>
      </c>
      <c r="G118" s="194" t="s">
        <v>54</v>
      </c>
      <c r="H118" s="71"/>
      <c r="I118" s="71"/>
      <c r="J118" s="46"/>
      <c r="K118" s="46"/>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84"/>
    </row>
    <row r="119" ht="15.0" customHeight="1">
      <c r="A119" s="42"/>
      <c r="B119" s="54"/>
      <c r="C119" s="91" t="s">
        <v>215</v>
      </c>
      <c r="D119" s="207">
        <f>IF($F$101="Option A",Equations!F145,Equations!G145)</f>
        <v>25.91263138</v>
      </c>
      <c r="E119" s="208">
        <f>IF($F$101="Option A",Equations!F146,Equations!G146)</f>
        <v>27.5603259</v>
      </c>
      <c r="F119" s="209">
        <f>IF($F$101="Option A",Equations!F147,Equations!G147)</f>
        <v>29.20802042</v>
      </c>
      <c r="G119" s="194" t="s">
        <v>54</v>
      </c>
      <c r="H119" s="71"/>
      <c r="I119" s="71"/>
      <c r="J119" s="46"/>
      <c r="K119" s="46"/>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6"/>
      <c r="AN119" s="46"/>
      <c r="AO119" s="84"/>
    </row>
    <row r="120" ht="15.0" customHeight="1">
      <c r="A120" s="42"/>
      <c r="B120" s="54"/>
      <c r="C120" s="210" t="s">
        <v>216</v>
      </c>
      <c r="D120" s="59"/>
      <c r="E120" s="59"/>
      <c r="F120" s="59"/>
      <c r="G120" s="211"/>
      <c r="H120" s="212"/>
      <c r="I120" s="212"/>
      <c r="J120" s="46"/>
      <c r="K120" s="46"/>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6"/>
      <c r="AN120" s="46"/>
      <c r="AO120" s="84"/>
    </row>
    <row r="121" ht="15.0" customHeight="1">
      <c r="A121" s="42"/>
      <c r="B121" s="54"/>
      <c r="C121" s="213"/>
      <c r="G121" s="214"/>
      <c r="H121" s="212"/>
      <c r="I121" s="212"/>
      <c r="J121" s="46"/>
      <c r="K121" s="46"/>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6"/>
      <c r="AN121" s="46"/>
      <c r="AO121" s="84"/>
    </row>
    <row r="122" ht="15.0" customHeight="1">
      <c r="A122" s="42"/>
      <c r="B122" s="54"/>
      <c r="C122" s="70"/>
      <c r="D122" s="64"/>
      <c r="E122" s="64"/>
      <c r="F122" s="64"/>
      <c r="G122" s="215"/>
      <c r="H122" s="212"/>
      <c r="I122" s="212"/>
      <c r="J122" s="46" t="s">
        <v>178</v>
      </c>
      <c r="K122" s="46"/>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6"/>
      <c r="AN122" s="46"/>
      <c r="AO122" s="84"/>
    </row>
    <row r="123" ht="15.0" customHeight="1">
      <c r="A123" s="42"/>
      <c r="B123" s="81"/>
      <c r="C123" s="42"/>
      <c r="D123" s="42"/>
      <c r="E123" s="91" t="s">
        <v>217</v>
      </c>
      <c r="F123" s="52">
        <v>10.0</v>
      </c>
      <c r="G123" s="199" t="s">
        <v>218</v>
      </c>
      <c r="H123" s="44"/>
      <c r="I123" s="44"/>
      <c r="J123" s="42"/>
      <c r="K123" s="11"/>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6"/>
      <c r="AN123" s="216"/>
      <c r="AO123" s="169"/>
      <c r="AP123" s="11"/>
      <c r="AQ123" s="11"/>
      <c r="AR123" s="11"/>
      <c r="AS123" s="11"/>
      <c r="AT123" s="11"/>
      <c r="AU123" s="11"/>
      <c r="BB123" s="11"/>
      <c r="BC123" s="11"/>
      <c r="BD123" s="11"/>
      <c r="BE123" s="11"/>
      <c r="BF123" s="11"/>
      <c r="BG123" s="11"/>
      <c r="BH123" s="11"/>
      <c r="BI123" s="11"/>
    </row>
    <row r="124" ht="15.0" customHeight="1">
      <c r="A124" s="42"/>
      <c r="B124" s="76" t="s">
        <v>219</v>
      </c>
      <c r="C124" s="50"/>
      <c r="D124" s="50"/>
      <c r="E124" s="217" t="s">
        <v>220</v>
      </c>
      <c r="F124" s="218">
        <f>Rs</f>
        <v>2.5</v>
      </c>
      <c r="G124" s="79" t="s">
        <v>221</v>
      </c>
      <c r="H124" s="193"/>
      <c r="I124" s="193"/>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80"/>
      <c r="AV124" s="11"/>
      <c r="AW124" s="11"/>
      <c r="AX124" s="11"/>
      <c r="AY124" s="11"/>
      <c r="AZ124" s="11"/>
      <c r="BA124" s="11"/>
    </row>
    <row r="125" ht="15.0" customHeight="1">
      <c r="A125" s="42"/>
      <c r="B125" s="81"/>
      <c r="C125" s="42"/>
      <c r="D125" s="42"/>
      <c r="E125" s="219" t="s">
        <v>222</v>
      </c>
      <c r="F125" s="220" t="str">
        <f>IF(RsMAX&gt;Rs,"DNP",RDIV1)</f>
        <v>DNP</v>
      </c>
      <c r="G125" s="105" t="s">
        <v>88</v>
      </c>
      <c r="H125" s="107"/>
      <c r="I125" s="107"/>
      <c r="J125" s="42"/>
      <c r="K125" s="42"/>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174"/>
    </row>
    <row r="126" ht="15.0" customHeight="1">
      <c r="A126" s="42"/>
      <c r="B126" s="81"/>
      <c r="C126" s="42"/>
      <c r="D126" s="42"/>
      <c r="E126" s="219" t="s">
        <v>223</v>
      </c>
      <c r="F126" s="220" t="str">
        <f>IF(RsMAX&gt;Rs,"0",RDIV2)</f>
        <v>0</v>
      </c>
      <c r="G126" s="105" t="s">
        <v>88</v>
      </c>
      <c r="H126" s="107"/>
      <c r="I126" s="107"/>
      <c r="J126" s="42"/>
      <c r="K126" s="42"/>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174"/>
    </row>
    <row r="127" ht="15.0" customHeight="1">
      <c r="A127" s="42"/>
      <c r="B127" s="54"/>
      <c r="C127" s="42"/>
      <c r="D127" s="42"/>
      <c r="E127" s="67" t="s">
        <v>224</v>
      </c>
      <c r="F127" s="221">
        <f>F51</f>
        <v>22</v>
      </c>
      <c r="G127" s="83" t="s">
        <v>225</v>
      </c>
      <c r="H127" s="71"/>
      <c r="I127" s="71"/>
      <c r="J127" s="42"/>
      <c r="K127" s="42"/>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222"/>
      <c r="AO127" s="223"/>
    </row>
    <row r="128" ht="15.0" customHeight="1">
      <c r="A128" s="42"/>
      <c r="B128" s="54"/>
      <c r="C128" s="42"/>
      <c r="D128" s="42"/>
      <c r="E128" s="67" t="s">
        <v>226</v>
      </c>
      <c r="F128" s="186">
        <f>IF(F30="Soft Start", F96, F83)</f>
        <v>22</v>
      </c>
      <c r="G128" s="83" t="s">
        <v>160</v>
      </c>
      <c r="H128" s="71"/>
      <c r="I128" s="46"/>
      <c r="J128" s="224" t="s">
        <v>227</v>
      </c>
      <c r="K128" s="225"/>
      <c r="L128" s="226"/>
      <c r="M128" s="226"/>
      <c r="N128" s="226"/>
      <c r="O128" s="226"/>
      <c r="P128" s="226"/>
      <c r="Q128" s="226"/>
      <c r="R128" s="226"/>
      <c r="S128" s="226"/>
      <c r="T128" s="226"/>
      <c r="U128" s="226"/>
      <c r="V128" s="226"/>
      <c r="W128" s="226"/>
      <c r="X128" s="226"/>
      <c r="Y128" s="226"/>
      <c r="Z128" s="226"/>
      <c r="AA128" s="226"/>
      <c r="AB128" s="226"/>
      <c r="AC128" s="226"/>
      <c r="AD128" s="226"/>
      <c r="AE128" s="226"/>
      <c r="AF128" s="226"/>
      <c r="AG128" s="226"/>
      <c r="AH128" s="226"/>
      <c r="AI128" s="226"/>
      <c r="AJ128" s="226"/>
      <c r="AM128" s="46"/>
      <c r="AN128" s="42"/>
      <c r="AO128" s="84"/>
    </row>
    <row r="129" ht="15.0" customHeight="1">
      <c r="A129" s="42"/>
      <c r="B129" s="54"/>
      <c r="C129" s="42"/>
      <c r="D129" s="42"/>
      <c r="E129" s="67" t="s">
        <v>228</v>
      </c>
      <c r="F129" s="221">
        <f t="shared" ref="F129:F131" si="4">F110</f>
        <v>95.24</v>
      </c>
      <c r="G129" s="83" t="s">
        <v>229</v>
      </c>
      <c r="H129" s="71"/>
      <c r="I129" s="44"/>
      <c r="J129" s="227" t="s">
        <v>230</v>
      </c>
      <c r="K129" s="227" t="s">
        <v>231</v>
      </c>
      <c r="L129" s="46"/>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8" t="s">
        <v>231</v>
      </c>
      <c r="AM129" s="46"/>
      <c r="AN129" s="42"/>
      <c r="AO129" s="84"/>
    </row>
    <row r="130" ht="15.0" customHeight="1">
      <c r="A130" s="42"/>
      <c r="B130" s="54"/>
      <c r="C130" s="42"/>
      <c r="D130" s="42"/>
      <c r="E130" s="67" t="s">
        <v>232</v>
      </c>
      <c r="F130" s="221">
        <f t="shared" si="4"/>
        <v>21.16</v>
      </c>
      <c r="G130" s="83" t="s">
        <v>233</v>
      </c>
      <c r="H130" s="71"/>
      <c r="I130" s="91" t="s">
        <v>234</v>
      </c>
      <c r="J130" s="229">
        <f>F42</f>
        <v>22</v>
      </c>
      <c r="K130" s="230" t="s">
        <v>58</v>
      </c>
      <c r="L130" s="46"/>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231" t="s">
        <v>58</v>
      </c>
      <c r="AM130" s="46"/>
      <c r="AN130" s="42"/>
      <c r="AO130" s="84"/>
    </row>
    <row r="131" ht="15.0" customHeight="1">
      <c r="A131" s="42"/>
      <c r="B131" s="54"/>
      <c r="C131" s="42"/>
      <c r="D131" s="42"/>
      <c r="E131" s="67" t="s">
        <v>235</v>
      </c>
      <c r="F131" s="221">
        <f t="shared" si="4"/>
        <v>10.58</v>
      </c>
      <c r="G131" s="83" t="s">
        <v>236</v>
      </c>
      <c r="H131" s="71"/>
      <c r="I131" s="91" t="s">
        <v>237</v>
      </c>
      <c r="J131" s="232">
        <f>F52</f>
        <v>70.4</v>
      </c>
      <c r="K131" s="55" t="s">
        <v>88</v>
      </c>
      <c r="L131" s="46"/>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233" t="s">
        <v>88</v>
      </c>
      <c r="AM131" s="46"/>
      <c r="AN131" s="42"/>
      <c r="AO131" s="84"/>
    </row>
    <row r="132" ht="15.0" customHeight="1">
      <c r="A132" s="42"/>
      <c r="B132" s="54"/>
      <c r="C132" s="42"/>
      <c r="D132" s="42"/>
      <c r="E132" s="67" t="s">
        <v>238</v>
      </c>
      <c r="F132" s="234" t="str">
        <f>IF(F101="Option A","N/A",F113)</f>
        <v>N/A</v>
      </c>
      <c r="G132" s="83" t="s">
        <v>239</v>
      </c>
      <c r="H132" s="71"/>
      <c r="I132" s="235" t="s">
        <v>240</v>
      </c>
      <c r="J132" s="236">
        <f>F42</f>
        <v>22</v>
      </c>
      <c r="K132" s="55" t="s">
        <v>58</v>
      </c>
      <c r="L132" s="46"/>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233" t="s">
        <v>58</v>
      </c>
      <c r="AM132" s="46"/>
      <c r="AN132" s="42"/>
      <c r="AO132" s="84"/>
    </row>
    <row r="133" ht="15.0" customHeight="1">
      <c r="A133" s="42"/>
      <c r="B133" s="54"/>
      <c r="C133" s="42"/>
      <c r="D133" s="42"/>
      <c r="E133" s="67" t="s">
        <v>241</v>
      </c>
      <c r="F133" s="237">
        <f>IF(F30="Soft Start", F91, "DNP")</f>
        <v>150</v>
      </c>
      <c r="G133" s="83" t="s">
        <v>160</v>
      </c>
      <c r="H133" s="71"/>
      <c r="I133" s="91" t="s">
        <v>242</v>
      </c>
      <c r="J133" s="141">
        <f>IF(F30="Soft Start",Equations!F70,Start_up!M2)</f>
        <v>281.25</v>
      </c>
      <c r="K133" s="55" t="s">
        <v>77</v>
      </c>
      <c r="L133" s="46"/>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233" t="s">
        <v>77</v>
      </c>
      <c r="AM133" s="46"/>
      <c r="AN133" s="42"/>
      <c r="AO133" s="84"/>
    </row>
    <row r="134" ht="15.0" customHeight="1">
      <c r="A134" s="42"/>
      <c r="B134" s="54"/>
      <c r="C134" s="42"/>
      <c r="D134" s="42"/>
      <c r="E134" s="67" t="s">
        <v>243</v>
      </c>
      <c r="F134" s="238">
        <v>0.01</v>
      </c>
      <c r="G134" s="83" t="s">
        <v>60</v>
      </c>
      <c r="H134" s="71"/>
      <c r="I134" s="91" t="s">
        <v>244</v>
      </c>
      <c r="J134" s="236">
        <f>TINSERT</f>
        <v>16</v>
      </c>
      <c r="K134" s="55" t="s">
        <v>77</v>
      </c>
      <c r="L134" s="46"/>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233" t="s">
        <v>77</v>
      </c>
      <c r="AM134" s="46"/>
      <c r="AN134" s="42"/>
      <c r="AO134" s="84"/>
    </row>
    <row r="135" ht="15.0" customHeight="1">
      <c r="A135" s="42"/>
      <c r="B135" s="54"/>
      <c r="C135" s="42"/>
      <c r="D135" s="42"/>
      <c r="E135" s="67" t="s">
        <v>245</v>
      </c>
      <c r="F135" s="191" t="s">
        <v>246</v>
      </c>
      <c r="G135" s="83"/>
      <c r="H135" s="71"/>
      <c r="I135" s="91" t="s">
        <v>247</v>
      </c>
      <c r="J135" s="141">
        <f>IF(F30="Soft Start", F97,F84)</f>
        <v>1.035294118</v>
      </c>
      <c r="K135" s="55" t="s">
        <v>77</v>
      </c>
      <c r="L135" s="46"/>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233" t="s">
        <v>77</v>
      </c>
      <c r="AM135" s="46"/>
      <c r="AN135" s="42"/>
      <c r="AO135" s="84"/>
    </row>
    <row r="136" ht="15.0" customHeight="1">
      <c r="A136" s="42"/>
      <c r="B136" s="54"/>
      <c r="C136" s="42"/>
      <c r="D136" s="42"/>
      <c r="E136" s="67" t="s">
        <v>248</v>
      </c>
      <c r="F136" s="191" t="str">
        <f>IF(F30="Soft Start","1N4148W-7-F","DNP")</f>
        <v>1N4148W-7-F</v>
      </c>
      <c r="G136" s="83"/>
      <c r="H136" s="71"/>
      <c r="I136" s="91" t="s">
        <v>249</v>
      </c>
      <c r="J136" s="239">
        <f>F100</f>
        <v>206.9423529</v>
      </c>
      <c r="K136" s="55" t="s">
        <v>77</v>
      </c>
      <c r="L136" s="46"/>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233" t="s">
        <v>77</v>
      </c>
      <c r="AM136" s="46"/>
      <c r="AN136" s="42"/>
      <c r="AO136" s="84"/>
    </row>
    <row r="137" ht="15.0" customHeight="1">
      <c r="A137" s="42"/>
      <c r="B137" s="54"/>
      <c r="C137" s="42"/>
      <c r="D137" s="42"/>
      <c r="E137" s="67" t="s">
        <v>250</v>
      </c>
      <c r="F137" s="191" t="str">
        <f>F75</f>
        <v>CSD18536KTT , 7.93 , $1.894</v>
      </c>
      <c r="G137" s="83"/>
      <c r="H137" s="71"/>
      <c r="I137" s="240" t="s">
        <v>251</v>
      </c>
      <c r="J137" s="241">
        <f t="shared" ref="J137:J140" si="5">E116</f>
        <v>12.0016153</v>
      </c>
      <c r="K137" s="55" t="s">
        <v>54</v>
      </c>
      <c r="L137" s="46"/>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233" t="s">
        <v>54</v>
      </c>
      <c r="AM137" s="46"/>
      <c r="AN137" s="42"/>
      <c r="AO137" s="84"/>
      <c r="AP137" s="11"/>
    </row>
    <row r="138" ht="15.0" customHeight="1">
      <c r="A138" s="42"/>
      <c r="B138" s="54"/>
      <c r="C138" s="42"/>
      <c r="D138" s="42"/>
      <c r="E138" s="67" t="s">
        <v>252</v>
      </c>
      <c r="F138" s="191">
        <f>MATCH(F137,F54:H54,F64:H64)</f>
        <v>1</v>
      </c>
      <c r="G138" s="83"/>
      <c r="H138" s="71"/>
      <c r="I138" s="240" t="s">
        <v>253</v>
      </c>
      <c r="J138" s="241">
        <f t="shared" si="5"/>
        <v>10.0015753</v>
      </c>
      <c r="K138" s="55" t="s">
        <v>54</v>
      </c>
      <c r="L138" s="46"/>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233" t="s">
        <v>54</v>
      </c>
      <c r="AM138" s="46"/>
      <c r="AN138" s="42"/>
      <c r="AO138" s="84"/>
      <c r="AP138" s="11"/>
    </row>
    <row r="139" ht="15.0" customHeight="1">
      <c r="A139" s="42"/>
      <c r="B139" s="54"/>
      <c r="C139" s="42"/>
      <c r="D139" s="42"/>
      <c r="E139" s="67" t="s">
        <v>254</v>
      </c>
      <c r="F139" s="191" t="str">
        <f>IF(F30="Soft Start","MMBT5401LT1G","DNP")</f>
        <v>MMBT5401LT1G</v>
      </c>
      <c r="G139" s="83"/>
      <c r="H139" s="71"/>
      <c r="I139" s="240" t="s">
        <v>255</v>
      </c>
      <c r="J139" s="241">
        <f t="shared" si="5"/>
        <v>30.0047259</v>
      </c>
      <c r="K139" s="55" t="s">
        <v>54</v>
      </c>
      <c r="L139" s="46"/>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233" t="s">
        <v>54</v>
      </c>
      <c r="AK139" s="42"/>
      <c r="AL139" s="42"/>
      <c r="AM139" s="46"/>
      <c r="AN139" s="42"/>
      <c r="AO139" s="84"/>
    </row>
    <row r="140" ht="15.0" customHeight="1">
      <c r="A140" s="42"/>
      <c r="B140" s="54"/>
      <c r="C140" s="42"/>
      <c r="D140" s="42"/>
      <c r="E140" s="67" t="s">
        <v>256</v>
      </c>
      <c r="F140" s="191" t="s">
        <v>257</v>
      </c>
      <c r="G140" s="83"/>
      <c r="H140" s="71"/>
      <c r="I140" s="240" t="s">
        <v>258</v>
      </c>
      <c r="J140" s="241">
        <f t="shared" si="5"/>
        <v>27.5603259</v>
      </c>
      <c r="K140" s="55" t="s">
        <v>54</v>
      </c>
      <c r="L140" s="46"/>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230" t="s">
        <v>54</v>
      </c>
      <c r="AK140" s="42"/>
      <c r="AL140" s="42"/>
      <c r="AM140" s="42"/>
      <c r="AN140" s="42"/>
      <c r="AO140" s="84"/>
    </row>
    <row r="141" ht="12.0" customHeight="1">
      <c r="A141" s="42"/>
      <c r="B141" s="54"/>
      <c r="C141" s="42"/>
      <c r="D141" s="42"/>
      <c r="F141" s="242"/>
      <c r="G141" s="194"/>
      <c r="H141" s="71"/>
      <c r="I141" s="71"/>
      <c r="J141" s="42"/>
      <c r="K141" s="42"/>
      <c r="L141" s="240"/>
      <c r="M141" s="243"/>
      <c r="N141" s="42"/>
      <c r="O141" s="46"/>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84"/>
    </row>
    <row r="142" ht="12.0" customHeight="1">
      <c r="A142" s="42"/>
      <c r="B142" s="54"/>
      <c r="C142" s="42"/>
      <c r="D142" s="42"/>
      <c r="E142" s="67"/>
      <c r="F142" s="242"/>
      <c r="G142" s="194"/>
      <c r="H142" s="71"/>
      <c r="I142" s="71"/>
      <c r="J142" s="42"/>
      <c r="K142" s="42"/>
      <c r="L142" s="42"/>
      <c r="M142" s="42"/>
      <c r="N142" s="42"/>
      <c r="O142" s="46"/>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84"/>
    </row>
    <row r="143" ht="12.0" customHeight="1">
      <c r="A143" s="42"/>
      <c r="B143" s="244" t="s">
        <v>259</v>
      </c>
      <c r="C143" s="245" t="s">
        <v>260</v>
      </c>
      <c r="D143" s="91"/>
      <c r="E143" s="245"/>
      <c r="F143" s="246"/>
      <c r="G143" s="199"/>
      <c r="H143" s="44"/>
      <c r="I143" s="44"/>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84"/>
    </row>
    <row r="144" ht="12.0" customHeight="1">
      <c r="A144" s="42"/>
      <c r="B144" s="54"/>
      <c r="C144" s="119" t="s">
        <v>261</v>
      </c>
      <c r="D144" s="59"/>
      <c r="E144" s="59"/>
      <c r="F144" s="60"/>
      <c r="G144" s="199"/>
      <c r="H144" s="44"/>
      <c r="I144" s="44"/>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84"/>
    </row>
    <row r="145" ht="12.0" customHeight="1">
      <c r="A145" s="42"/>
      <c r="B145" s="54"/>
      <c r="C145" s="70"/>
      <c r="D145" s="64"/>
      <c r="E145" s="64"/>
      <c r="F145" s="65"/>
      <c r="G145" s="199"/>
      <c r="H145" s="44"/>
      <c r="I145" s="44"/>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84"/>
    </row>
    <row r="146" ht="12.0" customHeight="1">
      <c r="A146" s="42"/>
      <c r="B146" s="54"/>
      <c r="C146" s="245" t="s">
        <v>262</v>
      </c>
      <c r="D146" s="42"/>
      <c r="E146" s="245"/>
      <c r="F146" s="42"/>
      <c r="G146" s="199"/>
      <c r="H146" s="44"/>
      <c r="I146" s="44"/>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84"/>
      <c r="AP146" s="11"/>
      <c r="AQ146" s="11"/>
      <c r="AR146" s="11"/>
      <c r="AS146" s="11"/>
      <c r="AT146" s="11"/>
      <c r="AU146" s="11"/>
      <c r="BB146" s="11"/>
      <c r="BC146" s="11"/>
      <c r="BD146" s="11"/>
      <c r="BE146" s="11"/>
      <c r="BF146" s="11"/>
      <c r="BG146" s="11"/>
      <c r="BH146" s="11"/>
      <c r="BI146" s="11"/>
    </row>
    <row r="147" ht="12.0" customHeight="1">
      <c r="A147" s="42"/>
      <c r="B147" s="72"/>
      <c r="C147" s="73"/>
      <c r="D147" s="73"/>
      <c r="E147" s="247"/>
      <c r="F147" s="73"/>
      <c r="G147" s="248"/>
      <c r="H147" s="249"/>
      <c r="I147" s="249"/>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169"/>
      <c r="AV147" s="11"/>
      <c r="AW147" s="11"/>
      <c r="AX147" s="11"/>
      <c r="AY147" s="11"/>
      <c r="AZ147" s="11"/>
      <c r="BA147" s="11"/>
    </row>
    <row r="148" ht="12.0" customHeight="1">
      <c r="A148" s="42"/>
      <c r="B148" s="42"/>
      <c r="C148" s="42"/>
      <c r="D148" s="42"/>
      <c r="E148" s="42"/>
      <c r="F148" s="42"/>
      <c r="G148" s="44"/>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row>
    <row r="149" ht="12.0" customHeight="1">
      <c r="A149" s="42"/>
      <c r="B149" s="250"/>
      <c r="C149" s="42"/>
      <c r="D149" s="42"/>
      <c r="E149" s="42"/>
      <c r="F149" s="46"/>
      <c r="G149" s="146"/>
      <c r="H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row>
    <row r="150" ht="12.0" customHeight="1">
      <c r="A150" s="42"/>
      <c r="B150" s="42"/>
      <c r="C150" s="42"/>
      <c r="D150" s="42"/>
      <c r="E150" s="42"/>
      <c r="F150" s="46"/>
      <c r="G150" s="146"/>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row>
    <row r="151" ht="12.0" customHeight="1">
      <c r="A151" s="42"/>
      <c r="B151" s="42"/>
      <c r="C151" s="42"/>
      <c r="D151" s="42"/>
      <c r="E151" s="42"/>
      <c r="F151" s="46"/>
      <c r="G151" s="146"/>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row>
    <row r="152" ht="12.0" customHeight="1">
      <c r="A152" s="42"/>
      <c r="B152" s="42"/>
      <c r="C152" s="42"/>
      <c r="D152" s="42"/>
      <c r="E152" s="42"/>
      <c r="F152" s="46"/>
      <c r="G152" s="146"/>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row>
    <row r="153" ht="12.0" customHeight="1">
      <c r="A153" s="42"/>
      <c r="B153" s="42"/>
      <c r="C153" s="42"/>
      <c r="D153" s="42"/>
      <c r="E153" s="42"/>
      <c r="F153" s="46"/>
      <c r="G153" s="146"/>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row>
    <row r="154" ht="12.0" customHeight="1">
      <c r="A154" s="42"/>
      <c r="B154" s="42"/>
      <c r="C154" s="42"/>
      <c r="D154" s="42"/>
      <c r="E154" s="42"/>
      <c r="F154" s="46"/>
      <c r="G154" s="146"/>
      <c r="H154" s="46"/>
      <c r="I154" s="46"/>
      <c r="J154" s="46"/>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row>
    <row r="155" ht="12.0" customHeight="1">
      <c r="A155" s="42"/>
      <c r="B155" s="42"/>
      <c r="C155" s="42"/>
      <c r="D155" s="42"/>
      <c r="E155" s="42"/>
      <c r="F155" s="46"/>
      <c r="G155" s="146"/>
      <c r="H155" s="46"/>
      <c r="I155" s="46"/>
      <c r="J155" s="46"/>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row>
    <row r="156" ht="12.0" customHeight="1">
      <c r="A156" s="42"/>
      <c r="B156" s="42"/>
      <c r="C156" s="42"/>
      <c r="D156" s="42"/>
      <c r="E156" s="42"/>
      <c r="F156" s="46"/>
      <c r="G156" s="146"/>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row>
    <row r="157" ht="12.0" customHeight="1">
      <c r="A157" s="42"/>
      <c r="B157" s="42"/>
      <c r="C157" s="42"/>
      <c r="D157" s="42"/>
      <c r="E157" s="42"/>
      <c r="F157" s="42"/>
      <c r="G157" s="44"/>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row>
    <row r="158" ht="12.0" customHeight="1">
      <c r="A158" s="42"/>
      <c r="B158" s="42"/>
      <c r="C158" s="42"/>
      <c r="D158" s="42"/>
      <c r="E158" s="42"/>
      <c r="F158" s="46"/>
      <c r="G158" s="146"/>
      <c r="H158" s="46"/>
      <c r="I158" s="46"/>
      <c r="J158" s="46"/>
      <c r="K158" s="46"/>
      <c r="L158" s="46"/>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row>
    <row r="159" ht="12.0" customHeight="1">
      <c r="A159" s="42"/>
      <c r="B159" s="42"/>
      <c r="C159" s="42"/>
      <c r="D159" s="42"/>
      <c r="E159" s="42"/>
      <c r="F159" s="46"/>
      <c r="G159" s="146"/>
      <c r="H159" s="46"/>
      <c r="I159" s="46"/>
      <c r="J159" s="46"/>
      <c r="K159" s="46"/>
      <c r="L159" s="46"/>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row>
    <row r="160" ht="12.0" customHeight="1">
      <c r="A160" s="42"/>
      <c r="B160" s="42"/>
      <c r="C160" s="42"/>
      <c r="D160" s="42"/>
      <c r="E160" s="42"/>
      <c r="F160" s="46"/>
      <c r="G160" s="146"/>
      <c r="H160" s="46"/>
      <c r="I160" s="46"/>
      <c r="J160" s="46"/>
      <c r="K160" s="46"/>
      <c r="L160" s="46"/>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row>
    <row r="161" ht="12.0" customHeight="1">
      <c r="A161" s="42"/>
      <c r="B161" s="42"/>
      <c r="C161" s="42"/>
      <c r="D161" s="42"/>
      <c r="E161" s="42"/>
      <c r="F161" s="46"/>
      <c r="G161" s="146"/>
      <c r="H161" s="46"/>
      <c r="I161" s="46"/>
      <c r="J161" s="46"/>
      <c r="K161" s="46"/>
      <c r="L161" s="46"/>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row>
    <row r="162" ht="12.0" customHeight="1">
      <c r="A162" s="42"/>
      <c r="B162" s="42"/>
      <c r="C162" s="42"/>
      <c r="D162" s="42"/>
      <c r="E162" s="42"/>
      <c r="F162" s="46"/>
      <c r="G162" s="146"/>
      <c r="H162" s="46"/>
      <c r="I162" s="46"/>
      <c r="J162" s="46"/>
      <c r="K162" s="46"/>
      <c r="L162" s="46"/>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row>
    <row r="163" ht="12.0" customHeight="1">
      <c r="A163" s="42"/>
      <c r="B163" s="42"/>
      <c r="C163" s="42"/>
      <c r="D163" s="42"/>
      <c r="E163" s="42"/>
      <c r="F163" s="46"/>
      <c r="G163" s="146"/>
      <c r="H163" s="46"/>
      <c r="I163" s="46"/>
      <c r="J163" s="46"/>
      <c r="K163" s="46"/>
      <c r="L163" s="46"/>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row>
    <row r="164" ht="12.0" customHeight="1">
      <c r="A164" s="42"/>
      <c r="B164" s="42"/>
      <c r="C164" s="42"/>
      <c r="D164" s="42"/>
      <c r="E164" s="42"/>
      <c r="F164" s="42"/>
      <c r="G164" s="44"/>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row>
    <row r="165" ht="12.0" customHeight="1">
      <c r="A165" s="42"/>
      <c r="B165" s="42"/>
      <c r="C165" s="42"/>
      <c r="D165" s="42"/>
      <c r="E165" s="42"/>
      <c r="F165" s="42"/>
      <c r="G165" s="44"/>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row>
    <row r="166" ht="12.0" customHeight="1">
      <c r="A166" s="42"/>
      <c r="B166" s="42"/>
      <c r="C166" s="42"/>
      <c r="D166" s="42"/>
      <c r="E166" s="42"/>
      <c r="F166" s="42"/>
      <c r="G166" s="44"/>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row>
    <row r="167" ht="12.0" customHeight="1">
      <c r="A167" s="42"/>
      <c r="B167" s="42"/>
      <c r="C167" s="42"/>
      <c r="D167" s="42"/>
      <c r="E167" s="42"/>
      <c r="F167" s="42"/>
      <c r="G167" s="44"/>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row>
    <row r="168" ht="12.0" customHeight="1">
      <c r="A168" s="42"/>
      <c r="B168" s="42"/>
      <c r="C168" s="42"/>
      <c r="D168" s="42"/>
      <c r="E168" s="42"/>
      <c r="F168" s="42"/>
      <c r="G168" s="44"/>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row>
    <row r="169" ht="12.0" customHeight="1">
      <c r="A169" s="42"/>
      <c r="B169" s="42"/>
      <c r="C169" s="42"/>
      <c r="D169" s="42"/>
      <c r="E169" s="42"/>
      <c r="F169" s="42"/>
      <c r="G169" s="44"/>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row>
    <row r="170" ht="12.0" customHeight="1">
      <c r="A170" s="42"/>
      <c r="B170" s="42"/>
      <c r="C170" s="42"/>
      <c r="D170" s="42"/>
      <c r="E170" s="42"/>
      <c r="F170" s="42"/>
      <c r="G170" s="44"/>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row>
    <row r="171" ht="12.0" customHeight="1">
      <c r="A171" s="42"/>
      <c r="B171" s="42"/>
      <c r="C171" s="42"/>
      <c r="D171" s="42"/>
      <c r="E171" s="42"/>
      <c r="F171" s="42"/>
      <c r="G171" s="44"/>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row>
    <row r="172" ht="12.0" customHeight="1">
      <c r="A172" s="42"/>
      <c r="B172" s="42"/>
      <c r="C172" s="42"/>
      <c r="D172" s="42"/>
      <c r="E172" s="42"/>
      <c r="F172" s="42"/>
      <c r="G172" s="44"/>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row>
    <row r="173" ht="12.0" customHeight="1">
      <c r="A173" s="42"/>
      <c r="B173" s="42"/>
      <c r="C173" s="42"/>
      <c r="D173" s="42"/>
      <c r="E173" s="42"/>
      <c r="F173" s="42"/>
      <c r="G173" s="44"/>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row>
    <row r="174" ht="12.0" customHeight="1">
      <c r="A174" s="42"/>
      <c r="B174" s="42"/>
      <c r="C174" s="42"/>
      <c r="D174" s="42"/>
      <c r="E174" s="42"/>
      <c r="F174" s="42"/>
      <c r="G174" s="44"/>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row>
    <row r="175" ht="12.0" customHeight="1">
      <c r="A175" s="42"/>
      <c r="B175" s="251"/>
      <c r="C175" s="42"/>
      <c r="D175" s="42"/>
      <c r="E175" s="42"/>
      <c r="F175" s="42"/>
      <c r="G175" s="44"/>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row>
    <row r="176" ht="12.0" customHeight="1">
      <c r="A176" s="42"/>
      <c r="B176" s="42"/>
      <c r="C176" s="42"/>
      <c r="D176" s="42"/>
      <c r="E176" s="42"/>
      <c r="F176" s="42"/>
      <c r="G176" s="44"/>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row>
    <row r="177" ht="12.0" customHeight="1">
      <c r="A177" s="42"/>
      <c r="B177" s="42"/>
      <c r="C177" s="42"/>
      <c r="D177" s="42"/>
      <c r="E177" s="42"/>
      <c r="F177" s="42"/>
      <c r="G177" s="44"/>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row>
    <row r="178" ht="12.0" customHeight="1">
      <c r="A178" s="42"/>
      <c r="B178" s="42"/>
      <c r="C178" s="42"/>
      <c r="D178" s="42"/>
      <c r="E178" s="42"/>
      <c r="F178" s="42"/>
      <c r="G178" s="44"/>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row>
    <row r="179" ht="12.0" customHeight="1">
      <c r="A179" s="42"/>
      <c r="B179" s="42"/>
      <c r="C179" s="42"/>
      <c r="D179" s="42"/>
      <c r="E179" s="42"/>
      <c r="F179" s="42"/>
      <c r="G179" s="44"/>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row>
    <row r="180" ht="12.0" customHeight="1">
      <c r="A180" s="42"/>
      <c r="B180" s="42"/>
      <c r="D180" s="42"/>
      <c r="E180" s="42"/>
      <c r="F180" s="42"/>
      <c r="G180" s="44"/>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row>
    <row r="181" ht="12.0" customHeight="1">
      <c r="A181" s="42"/>
      <c r="B181" s="42"/>
      <c r="C181" s="42"/>
      <c r="D181" s="42"/>
      <c r="E181" s="42"/>
      <c r="F181" s="42"/>
      <c r="G181" s="44"/>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row>
    <row r="182" ht="12.0" customHeight="1">
      <c r="A182" s="42"/>
      <c r="B182" s="42"/>
      <c r="C182" s="42"/>
      <c r="D182" s="42"/>
      <c r="E182" s="42"/>
      <c r="F182" s="42"/>
      <c r="G182" s="44"/>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row>
    <row r="183" ht="12.0" customHeight="1">
      <c r="A183" s="42"/>
      <c r="B183" s="42"/>
      <c r="C183" s="42"/>
      <c r="D183" s="42"/>
      <c r="E183" s="42"/>
      <c r="F183" s="42"/>
      <c r="G183" s="44"/>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row>
    <row r="184" ht="12.0" customHeight="1">
      <c r="A184" s="42"/>
      <c r="B184" s="42"/>
      <c r="C184" s="42"/>
      <c r="D184" s="42"/>
      <c r="E184" s="42"/>
      <c r="F184" s="42"/>
      <c r="G184" s="44"/>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row>
    <row r="185" ht="12.0" customHeight="1">
      <c r="A185" s="42"/>
      <c r="B185" s="42"/>
      <c r="C185" s="42"/>
      <c r="D185" s="42"/>
      <c r="E185" s="42"/>
      <c r="F185" s="42"/>
      <c r="G185" s="44"/>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row>
    <row r="186" ht="12.0" customHeight="1">
      <c r="A186" s="42"/>
      <c r="B186" s="42"/>
      <c r="C186" s="42"/>
      <c r="D186" s="42"/>
      <c r="E186" s="42"/>
      <c r="F186" s="42"/>
      <c r="G186" s="44"/>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row>
    <row r="187" ht="12.0" customHeight="1">
      <c r="A187" s="42"/>
      <c r="B187" s="42"/>
      <c r="C187" s="42"/>
      <c r="D187" s="42"/>
      <c r="E187" s="42"/>
      <c r="F187" s="42"/>
      <c r="G187" s="44"/>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row>
    <row r="188" ht="12.0" customHeight="1">
      <c r="A188" s="42"/>
      <c r="B188" s="42"/>
      <c r="C188" s="42"/>
      <c r="D188" s="42"/>
      <c r="E188" s="42"/>
      <c r="F188" s="42"/>
      <c r="G188" s="44"/>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row>
    <row r="189" ht="12.0" customHeight="1">
      <c r="A189" s="42"/>
      <c r="B189" s="42"/>
      <c r="C189" s="42"/>
      <c r="D189" s="42"/>
      <c r="E189" s="42"/>
      <c r="F189" s="42"/>
      <c r="G189" s="44"/>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row>
    <row r="190" ht="12.0" customHeight="1">
      <c r="A190" s="42"/>
      <c r="B190" s="42"/>
      <c r="C190" s="42"/>
      <c r="D190" s="42"/>
      <c r="E190" s="42"/>
      <c r="F190" s="42"/>
      <c r="G190" s="44"/>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row>
    <row r="191" ht="12.0" customHeight="1">
      <c r="A191" s="42"/>
      <c r="B191" s="42"/>
      <c r="C191" s="42"/>
      <c r="D191" s="42"/>
      <c r="E191" s="42"/>
      <c r="F191" s="42"/>
      <c r="G191" s="44"/>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row>
    <row r="192" ht="12.0" customHeight="1">
      <c r="A192" s="42"/>
      <c r="B192" s="42"/>
      <c r="C192" s="42"/>
      <c r="D192" s="42"/>
      <c r="E192" s="42"/>
      <c r="F192" s="42"/>
      <c r="G192" s="44"/>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row>
    <row r="193" ht="12.0" customHeight="1">
      <c r="A193" s="42"/>
      <c r="B193" s="42"/>
      <c r="C193" s="42"/>
      <c r="D193" s="42"/>
      <c r="E193" s="42"/>
      <c r="F193" s="42"/>
      <c r="G193" s="44"/>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row>
    <row r="194" ht="12.0" customHeight="1">
      <c r="A194" s="42"/>
      <c r="B194" s="42"/>
      <c r="C194" s="42"/>
      <c r="D194" s="42"/>
      <c r="E194" s="42"/>
      <c r="F194" s="42"/>
      <c r="G194" s="44"/>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row>
    <row r="195" ht="12.0" customHeight="1">
      <c r="A195" s="42"/>
      <c r="B195" s="42"/>
      <c r="C195" s="42"/>
      <c r="D195" s="42"/>
      <c r="E195" s="42"/>
      <c r="F195" s="42"/>
      <c r="G195" s="44"/>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row>
    <row r="196" ht="12.0" customHeight="1">
      <c r="A196" s="42"/>
      <c r="B196" s="42"/>
      <c r="C196" s="42"/>
      <c r="D196" s="42"/>
      <c r="E196" s="42"/>
      <c r="F196" s="42"/>
      <c r="G196" s="44"/>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row>
    <row r="197" ht="12.0" customHeight="1">
      <c r="A197" s="42"/>
      <c r="B197" s="42"/>
      <c r="C197" s="42"/>
      <c r="D197" s="42"/>
      <c r="E197" s="42"/>
      <c r="F197" s="42"/>
      <c r="G197" s="44"/>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row>
    <row r="198" ht="12.0" customHeight="1">
      <c r="A198" s="42"/>
      <c r="B198" s="42"/>
      <c r="C198" s="42"/>
      <c r="D198" s="42"/>
      <c r="E198" s="42"/>
      <c r="F198" s="42"/>
      <c r="G198" s="44"/>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row>
    <row r="199" ht="12.0" customHeight="1">
      <c r="A199" s="42"/>
      <c r="B199" s="42"/>
      <c r="C199" s="42"/>
      <c r="D199" s="42"/>
      <c r="E199" s="42"/>
      <c r="F199" s="42"/>
      <c r="G199" s="44"/>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row>
    <row r="200" ht="12.0" customHeight="1">
      <c r="A200" s="42"/>
      <c r="B200" s="42"/>
      <c r="C200" s="42"/>
      <c r="D200" s="42"/>
      <c r="E200" s="42"/>
      <c r="F200" s="42"/>
      <c r="G200" s="44"/>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row>
    <row r="201" ht="12.0" customHeight="1">
      <c r="A201" s="42"/>
      <c r="B201" s="42"/>
      <c r="C201" s="42"/>
      <c r="D201" s="42"/>
      <c r="E201" s="42"/>
      <c r="F201" s="42"/>
      <c r="G201" s="44"/>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row>
    <row r="202" ht="12.0" customHeight="1">
      <c r="A202" s="42"/>
      <c r="B202" s="42"/>
      <c r="C202" s="42"/>
      <c r="D202" s="42"/>
      <c r="E202" s="42"/>
      <c r="F202" s="42"/>
      <c r="G202" s="44"/>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row>
    <row r="203" ht="12.0" customHeight="1">
      <c r="A203" s="42"/>
      <c r="B203" s="42"/>
      <c r="C203" s="42"/>
      <c r="D203" s="42"/>
      <c r="E203" s="42"/>
      <c r="F203" s="42"/>
      <c r="G203" s="44"/>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row>
    <row r="204" ht="12.0" customHeight="1">
      <c r="A204" s="42"/>
      <c r="B204" s="42"/>
      <c r="C204" s="42"/>
      <c r="D204" s="42"/>
      <c r="E204" s="42"/>
      <c r="F204" s="42"/>
      <c r="G204" s="44"/>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row>
    <row r="205" ht="12.0" customHeight="1">
      <c r="A205" s="42"/>
      <c r="B205" s="42"/>
      <c r="C205" s="42"/>
      <c r="D205" s="42"/>
      <c r="E205" s="42"/>
      <c r="F205" s="42"/>
      <c r="G205" s="44"/>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row>
    <row r="206" ht="12.0" customHeight="1">
      <c r="A206" s="42"/>
      <c r="B206" s="42"/>
      <c r="C206" s="42"/>
      <c r="D206" s="42"/>
      <c r="E206" s="42"/>
      <c r="F206" s="42"/>
      <c r="G206" s="44"/>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row>
    <row r="207" ht="12.0" customHeight="1">
      <c r="A207" s="42"/>
      <c r="B207" s="42"/>
      <c r="C207" s="42"/>
      <c r="D207" s="42"/>
      <c r="E207" s="42"/>
      <c r="F207" s="42"/>
      <c r="G207" s="44"/>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row>
    <row r="208" ht="12.0" customHeight="1">
      <c r="A208" s="42"/>
      <c r="B208" s="42"/>
      <c r="C208" s="42"/>
      <c r="D208" s="42"/>
      <c r="E208" s="42"/>
      <c r="F208" s="42"/>
      <c r="G208" s="44"/>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row>
    <row r="209" ht="12.0" customHeight="1">
      <c r="A209" s="42"/>
      <c r="B209" s="42"/>
      <c r="C209" s="42"/>
      <c r="D209" s="42"/>
      <c r="E209" s="42"/>
      <c r="F209" s="42"/>
      <c r="G209" s="44"/>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row>
    <row r="210" ht="12.0" customHeight="1">
      <c r="A210" s="42"/>
      <c r="B210" s="42"/>
      <c r="C210" s="42"/>
      <c r="D210" s="42"/>
      <c r="E210" s="42"/>
      <c r="F210" s="42"/>
      <c r="G210" s="44"/>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row>
    <row r="211" ht="12.0" customHeight="1">
      <c r="A211" s="42"/>
      <c r="B211" s="42"/>
      <c r="C211" s="42"/>
      <c r="D211" s="42"/>
      <c r="E211" s="42"/>
      <c r="F211" s="42"/>
      <c r="G211" s="44"/>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row>
    <row r="212" ht="12.0" customHeight="1">
      <c r="A212" s="42"/>
      <c r="B212" s="42"/>
      <c r="C212" s="42"/>
      <c r="D212" s="42"/>
      <c r="E212" s="42"/>
      <c r="F212" s="42"/>
      <c r="G212" s="44"/>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row>
    <row r="213" ht="12.0" customHeight="1">
      <c r="A213" s="42"/>
      <c r="B213" s="42"/>
      <c r="C213" s="42"/>
      <c r="D213" s="42"/>
      <c r="E213" s="42"/>
      <c r="F213" s="42"/>
      <c r="G213" s="44"/>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row>
    <row r="214" ht="12.0" customHeight="1">
      <c r="A214" s="42"/>
      <c r="B214" s="42"/>
      <c r="C214" s="42"/>
      <c r="D214" s="42"/>
      <c r="E214" s="42"/>
      <c r="F214" s="42"/>
      <c r="G214" s="44"/>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row>
    <row r="215" ht="12.0" customHeight="1">
      <c r="A215" s="42"/>
      <c r="B215" s="42"/>
      <c r="C215" s="42"/>
      <c r="D215" s="42"/>
      <c r="E215" s="42"/>
      <c r="F215" s="42"/>
      <c r="G215" s="44"/>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row>
    <row r="216" ht="12.0" customHeight="1">
      <c r="A216" s="42"/>
      <c r="B216" s="42"/>
      <c r="C216" s="42"/>
      <c r="D216" s="42"/>
      <c r="E216" s="42"/>
      <c r="F216" s="42"/>
      <c r="G216" s="44"/>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row>
    <row r="217" ht="12.0" customHeight="1">
      <c r="A217" s="42"/>
      <c r="B217" s="42"/>
      <c r="C217" s="42"/>
      <c r="D217" s="42"/>
      <c r="E217" s="42"/>
      <c r="F217" s="42"/>
      <c r="G217" s="44"/>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row>
    <row r="218" ht="12.0" customHeight="1">
      <c r="A218" s="42"/>
      <c r="B218" s="42"/>
      <c r="C218" s="42"/>
      <c r="D218" s="42"/>
      <c r="E218" s="42"/>
      <c r="F218" s="42"/>
      <c r="G218" s="44"/>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row>
    <row r="219" ht="12.0" customHeight="1">
      <c r="A219" s="42"/>
      <c r="B219" s="42"/>
      <c r="C219" s="42"/>
      <c r="D219" s="42"/>
      <c r="E219" s="42"/>
      <c r="F219" s="42"/>
      <c r="G219" s="44"/>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row>
    <row r="220" ht="12.0" customHeight="1">
      <c r="G220" s="252"/>
    </row>
    <row r="221" ht="12.0" customHeight="1">
      <c r="G221" s="252"/>
    </row>
    <row r="222" ht="12.0" customHeight="1">
      <c r="G222" s="252"/>
    </row>
    <row r="223" ht="12.0" customHeight="1">
      <c r="G223" s="252"/>
    </row>
    <row r="224" ht="12.0" customHeight="1">
      <c r="G224" s="252"/>
    </row>
    <row r="225" ht="12.0" customHeight="1">
      <c r="G225" s="252"/>
    </row>
    <row r="226" ht="12.0" customHeight="1">
      <c r="G226" s="252"/>
    </row>
    <row r="227" ht="12.0" customHeight="1">
      <c r="G227" s="252"/>
    </row>
    <row r="228" ht="12.0" customHeight="1">
      <c r="G228" s="252"/>
    </row>
    <row r="229" ht="12.0" customHeight="1">
      <c r="G229" s="252"/>
    </row>
    <row r="230" ht="12.0" customHeight="1">
      <c r="G230" s="252"/>
    </row>
    <row r="231" ht="12.0" customHeight="1">
      <c r="G231" s="252"/>
    </row>
    <row r="232" ht="12.0" customHeight="1">
      <c r="G232" s="252"/>
    </row>
    <row r="233" ht="12.0" customHeight="1">
      <c r="G233" s="252"/>
    </row>
    <row r="234" ht="12.0" customHeight="1">
      <c r="G234" s="252"/>
    </row>
    <row r="235" ht="12.0" customHeight="1">
      <c r="G235" s="252"/>
    </row>
    <row r="236" ht="12.0" customHeight="1">
      <c r="G236" s="252"/>
    </row>
    <row r="237" ht="12.0" customHeight="1">
      <c r="G237" s="252"/>
    </row>
    <row r="238" ht="12.0" customHeight="1">
      <c r="G238" s="252"/>
    </row>
    <row r="239" ht="12.0" customHeight="1">
      <c r="G239" s="252"/>
    </row>
    <row r="240" ht="12.0" customHeight="1">
      <c r="G240" s="252"/>
    </row>
    <row r="241" ht="12.0" customHeight="1">
      <c r="G241" s="252"/>
    </row>
    <row r="242" ht="12.0" customHeight="1">
      <c r="G242" s="252"/>
    </row>
    <row r="243" ht="12.0" customHeight="1">
      <c r="G243" s="252"/>
    </row>
    <row r="244" ht="12.0" customHeight="1">
      <c r="G244" s="252"/>
    </row>
    <row r="245" ht="12.0" customHeight="1">
      <c r="G245" s="252"/>
    </row>
    <row r="246" ht="12.0" customHeight="1">
      <c r="G246" s="252"/>
    </row>
    <row r="247" ht="12.0" customHeight="1">
      <c r="G247" s="252"/>
    </row>
    <row r="248" ht="12.0" customHeight="1">
      <c r="G248" s="252"/>
    </row>
    <row r="249" ht="12.0" customHeight="1">
      <c r="G249" s="252"/>
    </row>
    <row r="250" ht="12.0" customHeight="1">
      <c r="G250" s="252"/>
    </row>
    <row r="251" ht="12.0" customHeight="1">
      <c r="G251" s="252"/>
    </row>
    <row r="252" ht="12.0" customHeight="1">
      <c r="G252" s="252"/>
    </row>
    <row r="253" ht="12.0" customHeight="1">
      <c r="G253" s="252"/>
    </row>
    <row r="254" ht="12.0" customHeight="1">
      <c r="G254" s="252"/>
    </row>
    <row r="255" ht="12.0" customHeight="1">
      <c r="G255" s="252"/>
    </row>
    <row r="256" ht="12.0" customHeight="1">
      <c r="G256" s="252"/>
    </row>
    <row r="257" ht="12.0" customHeight="1">
      <c r="G257" s="252"/>
    </row>
    <row r="258" ht="12.0" customHeight="1">
      <c r="G258" s="252"/>
    </row>
    <row r="259" ht="12.0" customHeight="1">
      <c r="G259" s="252"/>
    </row>
    <row r="260" ht="12.0" customHeight="1">
      <c r="G260" s="252"/>
    </row>
    <row r="261" ht="12.0" customHeight="1">
      <c r="G261" s="252"/>
    </row>
    <row r="262" ht="12.0" customHeight="1">
      <c r="G262" s="252"/>
    </row>
    <row r="263" ht="12.0" customHeight="1">
      <c r="G263" s="252"/>
    </row>
    <row r="264" ht="12.0" customHeight="1">
      <c r="G264" s="252"/>
    </row>
    <row r="265" ht="12.0" customHeight="1">
      <c r="G265" s="252"/>
    </row>
    <row r="266" ht="12.0" customHeight="1">
      <c r="G266" s="252"/>
    </row>
    <row r="267" ht="12.0" customHeight="1">
      <c r="G267" s="252"/>
    </row>
    <row r="268" ht="12.0" customHeight="1">
      <c r="G268" s="252"/>
    </row>
    <row r="269" ht="12.0" customHeight="1">
      <c r="G269" s="252"/>
    </row>
    <row r="270" ht="12.0" customHeight="1">
      <c r="G270" s="252"/>
    </row>
    <row r="271" ht="12.0" customHeight="1">
      <c r="G271" s="252"/>
    </row>
    <row r="272" ht="12.0" customHeight="1">
      <c r="G272" s="252"/>
    </row>
    <row r="273" ht="12.0" customHeight="1">
      <c r="G273" s="252"/>
    </row>
    <row r="274" ht="12.0" customHeight="1">
      <c r="G274" s="252"/>
    </row>
    <row r="275" ht="12.0" customHeight="1">
      <c r="G275" s="252"/>
    </row>
    <row r="276" ht="12.0" customHeight="1">
      <c r="G276" s="252"/>
    </row>
    <row r="277" ht="12.0" customHeight="1">
      <c r="G277" s="252"/>
    </row>
    <row r="278" ht="12.0" customHeight="1">
      <c r="G278" s="252"/>
    </row>
    <row r="279" ht="12.0" customHeight="1">
      <c r="G279" s="252"/>
    </row>
    <row r="280" ht="12.0" customHeight="1">
      <c r="G280" s="252"/>
    </row>
    <row r="281" ht="12.0" customHeight="1">
      <c r="G281" s="252"/>
    </row>
    <row r="282" ht="12.0" customHeight="1">
      <c r="G282" s="252"/>
    </row>
    <row r="283" ht="12.0" customHeight="1">
      <c r="G283" s="252"/>
    </row>
    <row r="284" ht="12.0" customHeight="1">
      <c r="G284" s="252"/>
    </row>
    <row r="285" ht="12.0" customHeight="1">
      <c r="G285" s="252"/>
    </row>
    <row r="286" ht="12.0" customHeight="1">
      <c r="G286" s="252"/>
    </row>
    <row r="287" ht="12.0" customHeight="1">
      <c r="G287" s="252"/>
    </row>
    <row r="288" ht="12.0" customHeight="1">
      <c r="G288" s="252"/>
    </row>
    <row r="289" ht="12.0" customHeight="1">
      <c r="G289" s="252"/>
    </row>
    <row r="290" ht="12.0" customHeight="1">
      <c r="G290" s="252"/>
    </row>
    <row r="291" ht="12.0" customHeight="1">
      <c r="G291" s="252"/>
    </row>
    <row r="292" ht="12.0" customHeight="1">
      <c r="G292" s="252"/>
    </row>
    <row r="293" ht="12.0" customHeight="1">
      <c r="G293" s="252"/>
    </row>
    <row r="294" ht="12.0" customHeight="1">
      <c r="G294" s="252"/>
    </row>
    <row r="295" ht="12.0" customHeight="1">
      <c r="G295" s="252"/>
    </row>
    <row r="296" ht="12.0" customHeight="1">
      <c r="G296" s="252"/>
    </row>
    <row r="297" ht="12.0" customHeight="1">
      <c r="G297" s="252"/>
    </row>
    <row r="298" ht="12.0" customHeight="1">
      <c r="G298" s="252"/>
    </row>
    <row r="299" ht="12.0" customHeight="1">
      <c r="G299" s="252"/>
    </row>
    <row r="300" ht="12.0" customHeight="1">
      <c r="G300" s="252"/>
    </row>
    <row r="301" ht="12.0" customHeight="1">
      <c r="G301" s="252"/>
    </row>
    <row r="302" ht="12.0" customHeight="1">
      <c r="G302" s="252"/>
    </row>
    <row r="303" ht="12.0" customHeight="1">
      <c r="G303" s="252"/>
    </row>
    <row r="304" ht="12.0" customHeight="1">
      <c r="G304" s="252"/>
    </row>
    <row r="305" ht="12.0" customHeight="1">
      <c r="G305" s="252"/>
    </row>
    <row r="306" ht="12.0" customHeight="1">
      <c r="G306" s="252"/>
    </row>
    <row r="307" ht="12.0" customHeight="1">
      <c r="G307" s="252"/>
    </row>
    <row r="308" ht="12.0" customHeight="1">
      <c r="G308" s="252"/>
    </row>
    <row r="309" ht="12.0" customHeight="1">
      <c r="G309" s="252"/>
    </row>
    <row r="310" ht="12.0" customHeight="1">
      <c r="G310" s="252"/>
    </row>
    <row r="311" ht="12.0" customHeight="1">
      <c r="G311" s="252"/>
    </row>
    <row r="312" ht="12.0" customHeight="1">
      <c r="G312" s="252"/>
    </row>
    <row r="313" ht="12.0" customHeight="1">
      <c r="G313" s="252"/>
    </row>
    <row r="314" ht="12.0" customHeight="1">
      <c r="G314" s="252"/>
    </row>
    <row r="315" ht="12.0" customHeight="1">
      <c r="G315" s="252"/>
    </row>
    <row r="316" ht="12.0" customHeight="1">
      <c r="G316" s="252"/>
    </row>
    <row r="317" ht="12.0" customHeight="1">
      <c r="G317" s="252"/>
    </row>
    <row r="318" ht="12.0" customHeight="1">
      <c r="G318" s="252"/>
    </row>
    <row r="319" ht="12.0" customHeight="1">
      <c r="G319" s="252"/>
    </row>
    <row r="320" ht="12.0" customHeight="1">
      <c r="G320" s="252"/>
    </row>
    <row r="321" ht="12.0" customHeight="1">
      <c r="G321" s="252"/>
    </row>
    <row r="322" ht="12.0" customHeight="1">
      <c r="G322" s="252"/>
    </row>
    <row r="323" ht="12.0" customHeight="1">
      <c r="G323" s="252"/>
    </row>
    <row r="324" ht="12.0" customHeight="1">
      <c r="G324" s="252"/>
    </row>
    <row r="325" ht="12.0" customHeight="1">
      <c r="G325" s="252"/>
    </row>
    <row r="326" ht="12.0" customHeight="1">
      <c r="G326" s="252"/>
    </row>
    <row r="327" ht="12.0" customHeight="1">
      <c r="G327" s="252"/>
    </row>
    <row r="328" ht="12.0" customHeight="1">
      <c r="G328" s="252"/>
    </row>
    <row r="329" ht="12.0" customHeight="1">
      <c r="G329" s="252"/>
    </row>
    <row r="330" ht="12.0" customHeight="1">
      <c r="G330" s="252"/>
    </row>
    <row r="331" ht="12.0" customHeight="1">
      <c r="G331" s="252"/>
    </row>
    <row r="332" ht="12.0" customHeight="1">
      <c r="G332" s="252"/>
    </row>
    <row r="333" ht="12.0" customHeight="1">
      <c r="G333" s="252"/>
    </row>
    <row r="334" ht="12.0" customHeight="1">
      <c r="G334" s="252"/>
    </row>
    <row r="335" ht="12.0" customHeight="1">
      <c r="G335" s="252"/>
    </row>
    <row r="336" ht="12.0" customHeight="1">
      <c r="G336" s="252"/>
    </row>
    <row r="337" ht="12.0" customHeight="1">
      <c r="G337" s="252"/>
    </row>
    <row r="338" ht="12.0" customHeight="1">
      <c r="G338" s="252"/>
    </row>
    <row r="339" ht="12.0" customHeight="1">
      <c r="G339" s="252"/>
    </row>
    <row r="340" ht="12.0" customHeight="1">
      <c r="G340" s="252"/>
    </row>
    <row r="341" ht="12.0" customHeight="1">
      <c r="G341" s="252"/>
    </row>
    <row r="342" ht="12.0" customHeight="1">
      <c r="G342" s="252"/>
    </row>
    <row r="343" ht="12.0" customHeight="1">
      <c r="G343" s="252"/>
    </row>
    <row r="344" ht="12.0" customHeight="1">
      <c r="G344" s="252"/>
    </row>
    <row r="345" ht="12.0" customHeight="1">
      <c r="G345" s="252"/>
    </row>
    <row r="346" ht="12.0" customHeight="1">
      <c r="G346" s="252"/>
    </row>
    <row r="347" ht="12.0" customHeight="1">
      <c r="G347" s="252"/>
    </row>
    <row r="348" ht="12.0" customHeight="1">
      <c r="G348" s="252"/>
    </row>
    <row r="349" ht="12.0" customHeight="1">
      <c r="G349" s="252"/>
    </row>
    <row r="350" ht="12.0" customHeight="1">
      <c r="G350" s="252"/>
    </row>
    <row r="351" ht="12.0" customHeight="1">
      <c r="G351" s="252"/>
    </row>
    <row r="352" ht="12.0" customHeight="1">
      <c r="G352" s="252"/>
    </row>
    <row r="353" ht="12.0" customHeight="1">
      <c r="G353" s="252"/>
    </row>
    <row r="354" ht="12.0" customHeight="1">
      <c r="G354" s="252"/>
    </row>
    <row r="355" ht="12.0" customHeight="1">
      <c r="G355" s="252"/>
    </row>
    <row r="356" ht="12.0" customHeight="1">
      <c r="G356" s="252"/>
    </row>
    <row r="357" ht="12.0" customHeight="1">
      <c r="G357" s="252"/>
    </row>
    <row r="358" ht="12.0" customHeight="1">
      <c r="G358" s="252"/>
    </row>
    <row r="359" ht="12.0" customHeight="1">
      <c r="G359" s="252"/>
    </row>
    <row r="360" ht="12.0" customHeight="1">
      <c r="G360" s="252"/>
    </row>
    <row r="361" ht="12.0" customHeight="1">
      <c r="G361" s="252"/>
    </row>
    <row r="362" ht="12.0" customHeight="1">
      <c r="G362" s="252"/>
    </row>
    <row r="363" ht="12.0" customHeight="1">
      <c r="G363" s="252"/>
    </row>
    <row r="364" ht="12.0" customHeight="1">
      <c r="G364" s="252"/>
    </row>
    <row r="365" ht="12.0" customHeight="1">
      <c r="G365" s="252"/>
    </row>
    <row r="366" ht="12.0" customHeight="1">
      <c r="G366" s="252"/>
    </row>
    <row r="367" ht="12.0" customHeight="1">
      <c r="G367" s="252"/>
    </row>
    <row r="368" ht="12.0" customHeight="1">
      <c r="G368" s="252"/>
    </row>
    <row r="369" ht="12.0" customHeight="1">
      <c r="G369" s="252"/>
    </row>
    <row r="370" ht="12.0" customHeight="1">
      <c r="G370" s="252"/>
    </row>
    <row r="371" ht="12.0" customHeight="1">
      <c r="G371" s="252"/>
    </row>
    <row r="372" ht="12.0" customHeight="1">
      <c r="G372" s="252"/>
    </row>
    <row r="373" ht="12.0" customHeight="1">
      <c r="G373" s="252"/>
    </row>
    <row r="374" ht="12.0" customHeight="1">
      <c r="G374" s="252"/>
    </row>
    <row r="375" ht="12.0" customHeight="1">
      <c r="G375" s="252"/>
    </row>
    <row r="376" ht="12.0" customHeight="1">
      <c r="G376" s="252"/>
    </row>
    <row r="377" ht="12.0" customHeight="1">
      <c r="G377" s="252"/>
    </row>
    <row r="378" ht="12.0" customHeight="1">
      <c r="G378" s="252"/>
    </row>
    <row r="379" ht="12.0" customHeight="1">
      <c r="G379" s="252"/>
    </row>
    <row r="380" ht="12.0" customHeight="1">
      <c r="G380" s="252"/>
    </row>
    <row r="381" ht="12.0" customHeight="1">
      <c r="G381" s="252"/>
    </row>
    <row r="382" ht="12.0" customHeight="1">
      <c r="G382" s="252"/>
    </row>
    <row r="383" ht="12.0" customHeight="1">
      <c r="G383" s="252"/>
    </row>
    <row r="384" ht="12.0" customHeight="1">
      <c r="G384" s="252"/>
    </row>
    <row r="385" ht="12.0" customHeight="1">
      <c r="G385" s="252"/>
    </row>
    <row r="386" ht="12.0" customHeight="1">
      <c r="G386" s="252"/>
    </row>
    <row r="387" ht="12.0" customHeight="1">
      <c r="G387" s="252"/>
    </row>
    <row r="388" ht="12.0" customHeight="1">
      <c r="G388" s="252"/>
    </row>
    <row r="389" ht="12.0" customHeight="1">
      <c r="G389" s="252"/>
    </row>
    <row r="390" ht="12.0" customHeight="1">
      <c r="G390" s="252"/>
    </row>
    <row r="391" ht="12.0" customHeight="1">
      <c r="G391" s="252"/>
    </row>
    <row r="392" ht="12.0" customHeight="1">
      <c r="G392" s="252"/>
    </row>
    <row r="393" ht="12.0" customHeight="1">
      <c r="G393" s="252"/>
    </row>
    <row r="394" ht="12.0" customHeight="1">
      <c r="G394" s="252"/>
    </row>
    <row r="395" ht="12.0" customHeight="1">
      <c r="G395" s="252"/>
    </row>
    <row r="396" ht="12.0" customHeight="1">
      <c r="G396" s="252"/>
    </row>
    <row r="397" ht="12.0" customHeight="1">
      <c r="G397" s="252"/>
    </row>
    <row r="398" ht="12.0" customHeight="1">
      <c r="G398" s="252"/>
    </row>
    <row r="399" ht="12.0" customHeight="1">
      <c r="G399" s="252"/>
    </row>
    <row r="400" ht="12.0" customHeight="1">
      <c r="G400" s="252"/>
    </row>
    <row r="401" ht="12.0" customHeight="1">
      <c r="G401" s="252"/>
    </row>
    <row r="402" ht="12.0" customHeight="1">
      <c r="G402" s="252"/>
    </row>
    <row r="403" ht="12.0" customHeight="1">
      <c r="G403" s="252"/>
    </row>
    <row r="404" ht="12.0" customHeight="1">
      <c r="G404" s="252"/>
    </row>
    <row r="405" ht="12.0" customHeight="1">
      <c r="G405" s="252"/>
    </row>
    <row r="406" ht="12.0" customHeight="1">
      <c r="G406" s="252"/>
    </row>
    <row r="407" ht="12.0" customHeight="1">
      <c r="G407" s="252"/>
    </row>
    <row r="408" ht="12.0" customHeight="1">
      <c r="G408" s="252"/>
    </row>
    <row r="409" ht="12.0" customHeight="1">
      <c r="G409" s="252"/>
    </row>
    <row r="410" ht="12.0" customHeight="1">
      <c r="G410" s="252"/>
    </row>
    <row r="411" ht="12.0" customHeight="1">
      <c r="G411" s="252"/>
    </row>
    <row r="412" ht="12.0" customHeight="1">
      <c r="G412" s="252"/>
    </row>
    <row r="413" ht="12.0" customHeight="1">
      <c r="G413" s="252"/>
    </row>
    <row r="414" ht="12.0" customHeight="1">
      <c r="G414" s="252"/>
    </row>
    <row r="415" ht="12.0" customHeight="1">
      <c r="G415" s="252"/>
    </row>
    <row r="416" ht="12.0" customHeight="1">
      <c r="G416" s="252"/>
    </row>
    <row r="417" ht="12.0" customHeight="1">
      <c r="G417" s="252"/>
    </row>
    <row r="418" ht="12.0" customHeight="1">
      <c r="G418" s="252"/>
    </row>
    <row r="419" ht="12.0" customHeight="1">
      <c r="G419" s="252"/>
    </row>
    <row r="420" ht="12.0" customHeight="1">
      <c r="G420" s="252"/>
    </row>
    <row r="421" ht="12.0" customHeight="1">
      <c r="G421" s="252"/>
    </row>
    <row r="422" ht="12.0" customHeight="1">
      <c r="G422" s="252"/>
    </row>
    <row r="423" ht="12.0" customHeight="1">
      <c r="G423" s="252"/>
    </row>
    <row r="424" ht="12.0" customHeight="1">
      <c r="G424" s="252"/>
    </row>
    <row r="425" ht="12.0" customHeight="1">
      <c r="G425" s="252"/>
    </row>
    <row r="426" ht="12.0" customHeight="1">
      <c r="G426" s="252"/>
    </row>
    <row r="427" ht="12.0" customHeight="1">
      <c r="G427" s="252"/>
    </row>
    <row r="428" ht="12.0" customHeight="1">
      <c r="G428" s="252"/>
    </row>
    <row r="429" ht="12.0" customHeight="1">
      <c r="G429" s="252"/>
    </row>
    <row r="430" ht="12.0" customHeight="1">
      <c r="G430" s="252"/>
    </row>
    <row r="431" ht="12.0" customHeight="1">
      <c r="G431" s="252"/>
    </row>
    <row r="432" ht="12.0" customHeight="1">
      <c r="G432" s="252"/>
    </row>
    <row r="433" ht="12.0" customHeight="1">
      <c r="G433" s="252"/>
    </row>
    <row r="434" ht="12.0" customHeight="1">
      <c r="G434" s="252"/>
    </row>
    <row r="435" ht="12.0" customHeight="1">
      <c r="G435" s="252"/>
    </row>
    <row r="436" ht="12.0" customHeight="1">
      <c r="G436" s="252"/>
    </row>
    <row r="437" ht="12.0" customHeight="1">
      <c r="G437" s="252"/>
    </row>
    <row r="438" ht="12.0" customHeight="1">
      <c r="G438" s="252"/>
    </row>
    <row r="439" ht="12.0" customHeight="1">
      <c r="G439" s="252"/>
    </row>
    <row r="440" ht="12.0" customHeight="1">
      <c r="G440" s="252"/>
    </row>
    <row r="441" ht="12.0" customHeight="1">
      <c r="G441" s="252"/>
    </row>
    <row r="442" ht="12.0" customHeight="1">
      <c r="G442" s="252"/>
    </row>
    <row r="443" ht="12.0" customHeight="1">
      <c r="G443" s="252"/>
    </row>
    <row r="444" ht="12.0" customHeight="1">
      <c r="G444" s="252"/>
    </row>
    <row r="445" ht="12.0" customHeight="1">
      <c r="G445" s="252"/>
    </row>
    <row r="446" ht="12.0" customHeight="1">
      <c r="G446" s="252"/>
    </row>
    <row r="447" ht="12.0" customHeight="1">
      <c r="G447" s="252"/>
    </row>
    <row r="448" ht="12.0" customHeight="1">
      <c r="G448" s="252"/>
    </row>
    <row r="449" ht="12.0" customHeight="1">
      <c r="G449" s="252"/>
    </row>
    <row r="450" ht="12.0" customHeight="1">
      <c r="G450" s="252"/>
    </row>
    <row r="451" ht="12.0" customHeight="1">
      <c r="G451" s="252"/>
    </row>
    <row r="452" ht="12.0" customHeight="1">
      <c r="G452" s="252"/>
    </row>
    <row r="453" ht="12.0" customHeight="1">
      <c r="G453" s="252"/>
    </row>
    <row r="454" ht="12.0" customHeight="1">
      <c r="G454" s="252"/>
    </row>
    <row r="455" ht="12.0" customHeight="1">
      <c r="G455" s="252"/>
    </row>
    <row r="456" ht="12.0" customHeight="1">
      <c r="G456" s="252"/>
    </row>
    <row r="457" ht="12.0" customHeight="1">
      <c r="G457" s="252"/>
    </row>
    <row r="458" ht="12.0" customHeight="1">
      <c r="G458" s="252"/>
    </row>
    <row r="459" ht="12.0" customHeight="1">
      <c r="G459" s="252"/>
    </row>
    <row r="460" ht="12.0" customHeight="1">
      <c r="G460" s="252"/>
    </row>
    <row r="461" ht="12.0" customHeight="1">
      <c r="G461" s="252"/>
    </row>
    <row r="462" ht="12.0" customHeight="1">
      <c r="G462" s="252"/>
    </row>
    <row r="463" ht="12.0" customHeight="1">
      <c r="G463" s="252"/>
    </row>
    <row r="464" ht="12.0" customHeight="1">
      <c r="G464" s="252"/>
    </row>
    <row r="465" ht="12.0" customHeight="1">
      <c r="G465" s="252"/>
    </row>
    <row r="466" ht="12.0" customHeight="1">
      <c r="G466" s="252"/>
    </row>
    <row r="467" ht="12.0" customHeight="1">
      <c r="G467" s="252"/>
    </row>
    <row r="468" ht="12.0" customHeight="1">
      <c r="G468" s="252"/>
    </row>
    <row r="469" ht="12.0" customHeight="1">
      <c r="G469" s="252"/>
    </row>
    <row r="470" ht="12.0" customHeight="1">
      <c r="G470" s="252"/>
    </row>
    <row r="471" ht="12.0" customHeight="1">
      <c r="G471" s="252"/>
    </row>
    <row r="472" ht="12.0" customHeight="1">
      <c r="G472" s="252"/>
    </row>
    <row r="473" ht="12.0" customHeight="1">
      <c r="G473" s="252"/>
    </row>
    <row r="474" ht="12.0" customHeight="1">
      <c r="G474" s="252"/>
    </row>
    <row r="475" ht="12.0" customHeight="1">
      <c r="G475" s="252"/>
    </row>
    <row r="476" ht="12.0" customHeight="1">
      <c r="G476" s="252"/>
    </row>
    <row r="477" ht="12.0" customHeight="1">
      <c r="G477" s="252"/>
    </row>
    <row r="478" ht="12.0" customHeight="1">
      <c r="G478" s="252"/>
    </row>
    <row r="479" ht="12.0" customHeight="1">
      <c r="G479" s="252"/>
    </row>
    <row r="480" ht="12.0" customHeight="1">
      <c r="G480" s="252"/>
    </row>
    <row r="481" ht="12.0" customHeight="1">
      <c r="G481" s="252"/>
    </row>
    <row r="482" ht="12.0" customHeight="1">
      <c r="G482" s="252"/>
    </row>
    <row r="483" ht="12.0" customHeight="1">
      <c r="G483" s="252"/>
    </row>
    <row r="484" ht="12.0" customHeight="1">
      <c r="G484" s="252"/>
    </row>
    <row r="485" ht="12.0" customHeight="1">
      <c r="G485" s="252"/>
    </row>
    <row r="486" ht="12.0" customHeight="1">
      <c r="G486" s="252"/>
    </row>
    <row r="487" ht="12.0" customHeight="1">
      <c r="G487" s="252"/>
    </row>
    <row r="488" ht="12.0" customHeight="1">
      <c r="G488" s="252"/>
    </row>
    <row r="489" ht="12.0" customHeight="1">
      <c r="G489" s="252"/>
    </row>
    <row r="490" ht="12.0" customHeight="1">
      <c r="G490" s="252"/>
    </row>
    <row r="491" ht="12.0" customHeight="1">
      <c r="G491" s="252"/>
    </row>
    <row r="492" ht="12.0" customHeight="1">
      <c r="G492" s="252"/>
    </row>
    <row r="493" ht="12.0" customHeight="1">
      <c r="G493" s="252"/>
    </row>
    <row r="494" ht="12.0" customHeight="1">
      <c r="G494" s="252"/>
    </row>
    <row r="495" ht="12.0" customHeight="1">
      <c r="G495" s="252"/>
    </row>
    <row r="496" ht="12.0" customHeight="1">
      <c r="G496" s="252"/>
    </row>
    <row r="497" ht="12.0" customHeight="1">
      <c r="G497" s="252"/>
    </row>
    <row r="498" ht="12.0" customHeight="1">
      <c r="G498" s="252"/>
    </row>
    <row r="499" ht="12.0" customHeight="1">
      <c r="G499" s="252"/>
    </row>
    <row r="500" ht="12.0" customHeight="1">
      <c r="G500" s="252"/>
    </row>
    <row r="501" ht="12.0" customHeight="1">
      <c r="G501" s="252"/>
    </row>
    <row r="502" ht="12.0" customHeight="1">
      <c r="G502" s="252"/>
    </row>
    <row r="503" ht="12.0" customHeight="1">
      <c r="G503" s="252"/>
    </row>
    <row r="504" ht="12.0" customHeight="1">
      <c r="G504" s="252"/>
    </row>
    <row r="505" ht="12.0" customHeight="1">
      <c r="G505" s="252"/>
    </row>
    <row r="506" ht="12.0" customHeight="1">
      <c r="G506" s="252"/>
    </row>
    <row r="507" ht="12.0" customHeight="1">
      <c r="G507" s="252"/>
    </row>
    <row r="508" ht="12.0" customHeight="1">
      <c r="G508" s="252"/>
    </row>
    <row r="509" ht="12.0" customHeight="1">
      <c r="G509" s="252"/>
    </row>
    <row r="510" ht="12.0" customHeight="1">
      <c r="G510" s="252"/>
    </row>
    <row r="511" ht="12.0" customHeight="1">
      <c r="G511" s="252"/>
    </row>
    <row r="512" ht="12.0" customHeight="1">
      <c r="G512" s="252"/>
    </row>
    <row r="513" ht="12.0" customHeight="1">
      <c r="G513" s="252"/>
    </row>
    <row r="514" ht="12.0" customHeight="1">
      <c r="G514" s="252"/>
    </row>
    <row r="515" ht="12.0" customHeight="1">
      <c r="G515" s="252"/>
    </row>
    <row r="516" ht="12.0" customHeight="1">
      <c r="G516" s="252"/>
    </row>
    <row r="517" ht="12.0" customHeight="1">
      <c r="G517" s="252"/>
    </row>
    <row r="518" ht="12.0" customHeight="1">
      <c r="G518" s="252"/>
    </row>
    <row r="519" ht="12.0" customHeight="1">
      <c r="G519" s="252"/>
    </row>
    <row r="520" ht="12.0" customHeight="1">
      <c r="G520" s="252"/>
    </row>
    <row r="521" ht="12.0" customHeight="1">
      <c r="G521" s="252"/>
    </row>
    <row r="522" ht="12.0" customHeight="1">
      <c r="G522" s="252"/>
    </row>
    <row r="523" ht="12.0" customHeight="1">
      <c r="G523" s="252"/>
    </row>
    <row r="524" ht="12.0" customHeight="1">
      <c r="G524" s="252"/>
    </row>
    <row r="525" ht="12.0" customHeight="1">
      <c r="G525" s="252"/>
    </row>
    <row r="526" ht="12.0" customHeight="1">
      <c r="G526" s="252"/>
    </row>
    <row r="527" ht="12.0" customHeight="1">
      <c r="G527" s="252"/>
    </row>
    <row r="528" ht="12.0" customHeight="1">
      <c r="G528" s="252"/>
    </row>
    <row r="529" ht="12.0" customHeight="1">
      <c r="G529" s="252"/>
    </row>
    <row r="530" ht="12.0" customHeight="1">
      <c r="G530" s="252"/>
    </row>
    <row r="531" ht="12.0" customHeight="1">
      <c r="G531" s="252"/>
    </row>
    <row r="532" ht="12.0" customHeight="1">
      <c r="G532" s="252"/>
    </row>
    <row r="533" ht="12.0" customHeight="1">
      <c r="G533" s="252"/>
    </row>
    <row r="534" ht="12.0" customHeight="1">
      <c r="G534" s="252"/>
    </row>
    <row r="535" ht="12.0" customHeight="1">
      <c r="G535" s="252"/>
    </row>
    <row r="536" ht="12.0" customHeight="1">
      <c r="G536" s="252"/>
    </row>
    <row r="537" ht="12.0" customHeight="1">
      <c r="G537" s="252"/>
    </row>
    <row r="538" ht="12.0" customHeight="1">
      <c r="G538" s="252"/>
    </row>
    <row r="539" ht="12.0" customHeight="1">
      <c r="G539" s="252"/>
    </row>
    <row r="540" ht="12.0" customHeight="1">
      <c r="G540" s="252"/>
    </row>
    <row r="541" ht="12.0" customHeight="1">
      <c r="G541" s="252"/>
    </row>
    <row r="542" ht="12.0" customHeight="1">
      <c r="G542" s="252"/>
    </row>
    <row r="543" ht="12.0" customHeight="1">
      <c r="G543" s="252"/>
    </row>
    <row r="544" ht="12.0" customHeight="1">
      <c r="G544" s="252"/>
    </row>
    <row r="545" ht="12.0" customHeight="1">
      <c r="G545" s="252"/>
    </row>
    <row r="546" ht="12.0" customHeight="1">
      <c r="G546" s="252"/>
    </row>
    <row r="547" ht="12.0" customHeight="1">
      <c r="G547" s="252"/>
    </row>
    <row r="548" ht="12.0" customHeight="1">
      <c r="G548" s="252"/>
    </row>
    <row r="549" ht="12.0" customHeight="1">
      <c r="G549" s="252"/>
    </row>
    <row r="550" ht="12.0" customHeight="1">
      <c r="G550" s="252"/>
    </row>
    <row r="551" ht="12.0" customHeight="1">
      <c r="G551" s="252"/>
    </row>
    <row r="552" ht="12.0" customHeight="1">
      <c r="G552" s="252"/>
    </row>
    <row r="553" ht="12.0" customHeight="1">
      <c r="G553" s="252"/>
    </row>
    <row r="554" ht="12.0" customHeight="1">
      <c r="G554" s="252"/>
    </row>
    <row r="555" ht="12.0" customHeight="1">
      <c r="G555" s="252"/>
    </row>
    <row r="556" ht="12.0" customHeight="1">
      <c r="G556" s="252"/>
    </row>
    <row r="557" ht="12.0" customHeight="1">
      <c r="G557" s="252"/>
    </row>
    <row r="558" ht="12.0" customHeight="1">
      <c r="G558" s="252"/>
    </row>
    <row r="559" ht="12.0" customHeight="1">
      <c r="G559" s="252"/>
    </row>
    <row r="560" ht="12.0" customHeight="1">
      <c r="G560" s="252"/>
    </row>
    <row r="561" ht="12.0" customHeight="1">
      <c r="G561" s="252"/>
    </row>
    <row r="562" ht="12.0" customHeight="1">
      <c r="G562" s="252"/>
    </row>
    <row r="563" ht="12.0" customHeight="1">
      <c r="G563" s="252"/>
    </row>
    <row r="564" ht="12.0" customHeight="1">
      <c r="G564" s="252"/>
    </row>
    <row r="565" ht="12.0" customHeight="1">
      <c r="G565" s="252"/>
    </row>
    <row r="566" ht="12.0" customHeight="1">
      <c r="G566" s="252"/>
    </row>
    <row r="567" ht="12.0" customHeight="1">
      <c r="G567" s="252"/>
    </row>
    <row r="568" ht="12.0" customHeight="1">
      <c r="G568" s="252"/>
    </row>
    <row r="569" ht="12.0" customHeight="1">
      <c r="G569" s="252"/>
    </row>
    <row r="570" ht="12.0" customHeight="1">
      <c r="G570" s="252"/>
    </row>
    <row r="571" ht="12.0" customHeight="1">
      <c r="G571" s="252"/>
    </row>
    <row r="572" ht="12.0" customHeight="1">
      <c r="G572" s="252"/>
    </row>
    <row r="573" ht="12.0" customHeight="1">
      <c r="G573" s="252"/>
    </row>
    <row r="574" ht="12.0" customHeight="1">
      <c r="G574" s="252"/>
    </row>
    <row r="575" ht="12.0" customHeight="1">
      <c r="G575" s="252"/>
    </row>
    <row r="576" ht="12.0" customHeight="1">
      <c r="G576" s="252"/>
    </row>
    <row r="577" ht="12.0" customHeight="1">
      <c r="G577" s="252"/>
    </row>
    <row r="578" ht="12.0" customHeight="1">
      <c r="G578" s="252"/>
    </row>
    <row r="579" ht="12.0" customHeight="1">
      <c r="G579" s="252"/>
    </row>
    <row r="580" ht="12.0" customHeight="1">
      <c r="G580" s="252"/>
    </row>
    <row r="581" ht="12.0" customHeight="1">
      <c r="G581" s="252"/>
    </row>
    <row r="582" ht="12.0" customHeight="1">
      <c r="G582" s="252"/>
    </row>
    <row r="583" ht="12.0" customHeight="1">
      <c r="G583" s="252"/>
    </row>
    <row r="584" ht="12.0" customHeight="1">
      <c r="G584" s="252"/>
    </row>
    <row r="585" ht="12.0" customHeight="1">
      <c r="G585" s="252"/>
    </row>
    <row r="586" ht="12.0" customHeight="1">
      <c r="G586" s="252"/>
    </row>
    <row r="587" ht="12.0" customHeight="1">
      <c r="G587" s="252"/>
    </row>
    <row r="588" ht="12.0" customHeight="1">
      <c r="G588" s="252"/>
    </row>
    <row r="589" ht="12.0" customHeight="1">
      <c r="G589" s="252"/>
    </row>
    <row r="590" ht="12.0" customHeight="1">
      <c r="G590" s="252"/>
    </row>
    <row r="591" ht="12.0" customHeight="1">
      <c r="G591" s="252"/>
    </row>
    <row r="592" ht="12.0" customHeight="1">
      <c r="G592" s="252"/>
    </row>
    <row r="593" ht="12.0" customHeight="1">
      <c r="G593" s="252"/>
    </row>
    <row r="594" ht="12.0" customHeight="1">
      <c r="G594" s="252"/>
    </row>
    <row r="595" ht="12.0" customHeight="1">
      <c r="G595" s="252"/>
    </row>
    <row r="596" ht="12.0" customHeight="1">
      <c r="G596" s="252"/>
    </row>
    <row r="597" ht="12.0" customHeight="1">
      <c r="G597" s="252"/>
    </row>
    <row r="598" ht="12.0" customHeight="1">
      <c r="G598" s="252"/>
    </row>
    <row r="599" ht="12.0" customHeight="1">
      <c r="G599" s="252"/>
    </row>
    <row r="600" ht="12.0" customHeight="1">
      <c r="G600" s="252"/>
    </row>
    <row r="601" ht="12.0" customHeight="1">
      <c r="G601" s="252"/>
    </row>
    <row r="602" ht="12.0" customHeight="1">
      <c r="G602" s="252"/>
    </row>
    <row r="603" ht="12.0" customHeight="1">
      <c r="G603" s="252"/>
    </row>
    <row r="604" ht="12.0" customHeight="1">
      <c r="G604" s="252"/>
    </row>
    <row r="605" ht="12.0" customHeight="1">
      <c r="G605" s="252"/>
    </row>
    <row r="606" ht="12.0" customHeight="1">
      <c r="G606" s="252"/>
    </row>
    <row r="607" ht="12.0" customHeight="1">
      <c r="G607" s="252"/>
    </row>
    <row r="608" ht="12.0" customHeight="1">
      <c r="G608" s="252"/>
    </row>
    <row r="609" ht="12.0" customHeight="1">
      <c r="G609" s="252"/>
    </row>
    <row r="610" ht="12.0" customHeight="1">
      <c r="G610" s="252"/>
    </row>
    <row r="611" ht="12.0" customHeight="1">
      <c r="G611" s="252"/>
    </row>
    <row r="612" ht="12.0" customHeight="1">
      <c r="G612" s="252"/>
    </row>
    <row r="613" ht="12.0" customHeight="1">
      <c r="G613" s="252"/>
    </row>
    <row r="614" ht="12.0" customHeight="1">
      <c r="G614" s="252"/>
    </row>
    <row r="615" ht="12.0" customHeight="1">
      <c r="G615" s="252"/>
    </row>
    <row r="616" ht="12.0" customHeight="1">
      <c r="G616" s="252"/>
    </row>
    <row r="617" ht="12.0" customHeight="1">
      <c r="G617" s="252"/>
    </row>
    <row r="618" ht="12.0" customHeight="1">
      <c r="G618" s="252"/>
    </row>
    <row r="619" ht="12.0" customHeight="1">
      <c r="G619" s="252"/>
    </row>
    <row r="620" ht="12.0" customHeight="1">
      <c r="G620" s="252"/>
    </row>
    <row r="621" ht="12.0" customHeight="1">
      <c r="G621" s="252"/>
    </row>
    <row r="622" ht="12.0" customHeight="1">
      <c r="G622" s="252"/>
    </row>
    <row r="623" ht="12.0" customHeight="1">
      <c r="G623" s="252"/>
    </row>
    <row r="624" ht="12.0" customHeight="1">
      <c r="G624" s="252"/>
    </row>
    <row r="625" ht="12.0" customHeight="1">
      <c r="G625" s="252"/>
    </row>
    <row r="626" ht="12.0" customHeight="1">
      <c r="G626" s="252"/>
    </row>
    <row r="627" ht="12.0" customHeight="1">
      <c r="G627" s="252"/>
    </row>
    <row r="628" ht="12.0" customHeight="1">
      <c r="G628" s="252"/>
    </row>
    <row r="629" ht="12.0" customHeight="1">
      <c r="G629" s="252"/>
    </row>
    <row r="630" ht="12.0" customHeight="1">
      <c r="G630" s="252"/>
    </row>
    <row r="631" ht="12.0" customHeight="1">
      <c r="G631" s="252"/>
    </row>
    <row r="632" ht="12.0" customHeight="1">
      <c r="G632" s="252"/>
    </row>
    <row r="633" ht="12.0" customHeight="1">
      <c r="G633" s="252"/>
    </row>
    <row r="634" ht="12.0" customHeight="1">
      <c r="G634" s="252"/>
    </row>
    <row r="635" ht="12.0" customHeight="1">
      <c r="G635" s="252"/>
    </row>
    <row r="636" ht="12.0" customHeight="1">
      <c r="G636" s="252"/>
    </row>
    <row r="637" ht="12.0" customHeight="1">
      <c r="G637" s="252"/>
    </row>
    <row r="638" ht="12.0" customHeight="1">
      <c r="G638" s="252"/>
    </row>
    <row r="639" ht="12.0" customHeight="1">
      <c r="G639" s="252"/>
    </row>
    <row r="640" ht="12.0" customHeight="1">
      <c r="G640" s="252"/>
    </row>
    <row r="641" ht="12.0" customHeight="1">
      <c r="G641" s="252"/>
    </row>
    <row r="642" ht="12.0" customHeight="1">
      <c r="G642" s="252"/>
    </row>
    <row r="643" ht="12.0" customHeight="1">
      <c r="G643" s="252"/>
    </row>
    <row r="644" ht="12.0" customHeight="1">
      <c r="G644" s="252"/>
    </row>
    <row r="645" ht="12.0" customHeight="1">
      <c r="G645" s="252"/>
    </row>
    <row r="646" ht="12.0" customHeight="1">
      <c r="G646" s="252"/>
    </row>
    <row r="647" ht="12.0" customHeight="1">
      <c r="G647" s="252"/>
    </row>
    <row r="648" ht="12.0" customHeight="1">
      <c r="G648" s="252"/>
    </row>
    <row r="649" ht="12.0" customHeight="1">
      <c r="G649" s="252"/>
    </row>
    <row r="650" ht="12.0" customHeight="1">
      <c r="G650" s="252"/>
    </row>
    <row r="651" ht="12.0" customHeight="1">
      <c r="G651" s="252"/>
    </row>
    <row r="652" ht="12.0" customHeight="1">
      <c r="G652" s="252"/>
    </row>
    <row r="653" ht="12.0" customHeight="1">
      <c r="G653" s="252"/>
    </row>
    <row r="654" ht="12.0" customHeight="1">
      <c r="G654" s="252"/>
    </row>
    <row r="655" ht="12.0" customHeight="1">
      <c r="G655" s="252"/>
    </row>
    <row r="656" ht="12.0" customHeight="1">
      <c r="G656" s="252"/>
    </row>
    <row r="657" ht="12.0" customHeight="1">
      <c r="G657" s="252"/>
    </row>
    <row r="658" ht="12.0" customHeight="1">
      <c r="G658" s="252"/>
    </row>
    <row r="659" ht="12.0" customHeight="1">
      <c r="G659" s="252"/>
    </row>
    <row r="660" ht="12.0" customHeight="1">
      <c r="G660" s="252"/>
    </row>
    <row r="661" ht="12.0" customHeight="1">
      <c r="G661" s="252"/>
    </row>
    <row r="662" ht="12.0" customHeight="1">
      <c r="G662" s="252"/>
    </row>
    <row r="663" ht="12.0" customHeight="1">
      <c r="G663" s="252"/>
    </row>
    <row r="664" ht="12.0" customHeight="1">
      <c r="G664" s="252"/>
    </row>
    <row r="665" ht="12.0" customHeight="1">
      <c r="G665" s="252"/>
    </row>
    <row r="666" ht="12.0" customHeight="1">
      <c r="G666" s="252"/>
    </row>
    <row r="667" ht="12.0" customHeight="1">
      <c r="G667" s="252"/>
    </row>
    <row r="668" ht="12.0" customHeight="1">
      <c r="G668" s="252"/>
    </row>
    <row r="669" ht="12.0" customHeight="1">
      <c r="G669" s="252"/>
    </row>
    <row r="670" ht="12.0" customHeight="1">
      <c r="G670" s="252"/>
    </row>
    <row r="671" ht="12.0" customHeight="1">
      <c r="G671" s="252"/>
    </row>
    <row r="672" ht="12.0" customHeight="1">
      <c r="G672" s="252"/>
    </row>
    <row r="673" ht="12.0" customHeight="1">
      <c r="G673" s="252"/>
    </row>
    <row r="674" ht="12.0" customHeight="1">
      <c r="G674" s="252"/>
    </row>
    <row r="675" ht="12.0" customHeight="1">
      <c r="G675" s="252"/>
    </row>
    <row r="676" ht="12.0" customHeight="1">
      <c r="G676" s="252"/>
    </row>
    <row r="677" ht="12.0" customHeight="1">
      <c r="G677" s="252"/>
    </row>
    <row r="678" ht="12.0" customHeight="1">
      <c r="G678" s="252"/>
    </row>
    <row r="679" ht="12.0" customHeight="1">
      <c r="G679" s="252"/>
    </row>
    <row r="680" ht="12.0" customHeight="1">
      <c r="G680" s="252"/>
    </row>
    <row r="681" ht="12.0" customHeight="1">
      <c r="G681" s="252"/>
    </row>
    <row r="682" ht="12.0" customHeight="1">
      <c r="G682" s="252"/>
    </row>
    <row r="683" ht="12.0" customHeight="1">
      <c r="G683" s="252"/>
    </row>
    <row r="684" ht="12.0" customHeight="1">
      <c r="G684" s="252"/>
    </row>
    <row r="685" ht="12.0" customHeight="1">
      <c r="G685" s="252"/>
    </row>
    <row r="686" ht="12.0" customHeight="1">
      <c r="G686" s="252"/>
    </row>
    <row r="687" ht="12.0" customHeight="1">
      <c r="G687" s="252"/>
    </row>
    <row r="688" ht="12.0" customHeight="1">
      <c r="G688" s="252"/>
    </row>
    <row r="689" ht="12.0" customHeight="1">
      <c r="G689" s="252"/>
    </row>
    <row r="690" ht="12.0" customHeight="1">
      <c r="G690" s="252"/>
    </row>
    <row r="691" ht="12.0" customHeight="1">
      <c r="G691" s="252"/>
    </row>
    <row r="692" ht="12.0" customHeight="1">
      <c r="G692" s="252"/>
    </row>
    <row r="693" ht="12.0" customHeight="1">
      <c r="G693" s="252"/>
    </row>
    <row r="694" ht="12.0" customHeight="1">
      <c r="G694" s="252"/>
    </row>
    <row r="695" ht="12.0" customHeight="1">
      <c r="G695" s="252"/>
    </row>
    <row r="696" ht="12.0" customHeight="1">
      <c r="G696" s="252"/>
    </row>
    <row r="697" ht="12.0" customHeight="1">
      <c r="G697" s="252"/>
    </row>
    <row r="698" ht="12.0" customHeight="1">
      <c r="G698" s="252"/>
    </row>
    <row r="699" ht="12.0" customHeight="1">
      <c r="G699" s="252"/>
    </row>
    <row r="700" ht="12.0" customHeight="1">
      <c r="G700" s="252"/>
    </row>
    <row r="701" ht="12.0" customHeight="1">
      <c r="G701" s="252"/>
    </row>
    <row r="702" ht="12.0" customHeight="1">
      <c r="G702" s="252"/>
    </row>
    <row r="703" ht="12.0" customHeight="1">
      <c r="G703" s="252"/>
    </row>
    <row r="704" ht="12.0" customHeight="1">
      <c r="G704" s="252"/>
    </row>
    <row r="705" ht="12.0" customHeight="1">
      <c r="G705" s="252"/>
    </row>
    <row r="706" ht="12.0" customHeight="1">
      <c r="G706" s="252"/>
    </row>
    <row r="707" ht="12.0" customHeight="1">
      <c r="G707" s="252"/>
    </row>
    <row r="708" ht="12.0" customHeight="1">
      <c r="G708" s="252"/>
    </row>
    <row r="709" ht="12.0" customHeight="1">
      <c r="G709" s="252"/>
    </row>
    <row r="710" ht="12.0" customHeight="1">
      <c r="G710" s="252"/>
    </row>
    <row r="711" ht="12.0" customHeight="1">
      <c r="G711" s="252"/>
    </row>
    <row r="712" ht="12.0" customHeight="1">
      <c r="G712" s="252"/>
    </row>
    <row r="713" ht="12.0" customHeight="1">
      <c r="G713" s="252"/>
    </row>
    <row r="714" ht="12.0" customHeight="1">
      <c r="G714" s="252"/>
    </row>
    <row r="715" ht="12.0" customHeight="1">
      <c r="G715" s="252"/>
    </row>
    <row r="716" ht="12.0" customHeight="1">
      <c r="G716" s="252"/>
    </row>
    <row r="717" ht="12.0" customHeight="1">
      <c r="G717" s="252"/>
    </row>
    <row r="718" ht="12.0" customHeight="1">
      <c r="G718" s="252"/>
    </row>
    <row r="719" ht="12.0" customHeight="1">
      <c r="G719" s="252"/>
    </row>
    <row r="720" ht="12.0" customHeight="1">
      <c r="G720" s="252"/>
    </row>
    <row r="721" ht="12.0" customHeight="1">
      <c r="G721" s="252"/>
    </row>
    <row r="722" ht="12.0" customHeight="1">
      <c r="G722" s="252"/>
    </row>
    <row r="723" ht="12.0" customHeight="1">
      <c r="G723" s="252"/>
    </row>
    <row r="724" ht="12.0" customHeight="1">
      <c r="G724" s="252"/>
    </row>
    <row r="725" ht="12.0" customHeight="1">
      <c r="G725" s="252"/>
    </row>
    <row r="726" ht="12.0" customHeight="1">
      <c r="G726" s="252"/>
    </row>
    <row r="727" ht="12.0" customHeight="1">
      <c r="G727" s="252"/>
    </row>
    <row r="728" ht="12.0" customHeight="1">
      <c r="G728" s="252"/>
    </row>
    <row r="729" ht="12.0" customHeight="1">
      <c r="G729" s="252"/>
    </row>
    <row r="730" ht="12.0" customHeight="1">
      <c r="G730" s="252"/>
    </row>
    <row r="731" ht="12.0" customHeight="1">
      <c r="G731" s="252"/>
    </row>
    <row r="732" ht="12.0" customHeight="1">
      <c r="G732" s="252"/>
    </row>
    <row r="733" ht="12.0" customHeight="1">
      <c r="G733" s="252"/>
    </row>
    <row r="734" ht="12.0" customHeight="1">
      <c r="G734" s="252"/>
    </row>
    <row r="735" ht="12.0" customHeight="1">
      <c r="G735" s="252"/>
    </row>
    <row r="736" ht="12.0" customHeight="1">
      <c r="G736" s="252"/>
    </row>
    <row r="737" ht="12.0" customHeight="1">
      <c r="G737" s="252"/>
    </row>
    <row r="738" ht="12.0" customHeight="1">
      <c r="G738" s="252"/>
    </row>
    <row r="739" ht="12.0" customHeight="1">
      <c r="G739" s="252"/>
    </row>
    <row r="740" ht="12.0" customHeight="1">
      <c r="G740" s="252"/>
    </row>
    <row r="741" ht="12.0" customHeight="1">
      <c r="G741" s="252"/>
    </row>
    <row r="742" ht="12.0" customHeight="1">
      <c r="G742" s="252"/>
    </row>
    <row r="743" ht="12.0" customHeight="1">
      <c r="G743" s="252"/>
    </row>
    <row r="744" ht="12.0" customHeight="1">
      <c r="G744" s="252"/>
    </row>
    <row r="745" ht="12.0" customHeight="1">
      <c r="G745" s="252"/>
    </row>
    <row r="746" ht="12.0" customHeight="1">
      <c r="G746" s="252"/>
    </row>
    <row r="747" ht="12.0" customHeight="1">
      <c r="G747" s="252"/>
    </row>
    <row r="748" ht="12.0" customHeight="1">
      <c r="G748" s="252"/>
    </row>
    <row r="749" ht="12.0" customHeight="1">
      <c r="G749" s="252"/>
    </row>
    <row r="750" ht="12.0" customHeight="1">
      <c r="G750" s="252"/>
    </row>
    <row r="751" ht="12.0" customHeight="1">
      <c r="G751" s="252"/>
    </row>
    <row r="752" ht="12.0" customHeight="1">
      <c r="G752" s="252"/>
    </row>
    <row r="753" ht="12.0" customHeight="1">
      <c r="G753" s="252"/>
    </row>
    <row r="754" ht="12.0" customHeight="1">
      <c r="G754" s="252"/>
    </row>
    <row r="755" ht="12.0" customHeight="1">
      <c r="G755" s="252"/>
    </row>
    <row r="756" ht="12.0" customHeight="1">
      <c r="G756" s="252"/>
    </row>
    <row r="757" ht="12.0" customHeight="1">
      <c r="G757" s="252"/>
    </row>
    <row r="758" ht="12.0" customHeight="1">
      <c r="G758" s="252"/>
    </row>
    <row r="759" ht="12.0" customHeight="1">
      <c r="G759" s="252"/>
    </row>
    <row r="760" ht="12.0" customHeight="1">
      <c r="G760" s="252"/>
    </row>
    <row r="761" ht="12.0" customHeight="1">
      <c r="G761" s="252"/>
    </row>
    <row r="762" ht="12.0" customHeight="1">
      <c r="G762" s="252"/>
    </row>
    <row r="763" ht="12.0" customHeight="1">
      <c r="G763" s="252"/>
    </row>
    <row r="764" ht="12.0" customHeight="1">
      <c r="G764" s="252"/>
    </row>
    <row r="765" ht="12.0" customHeight="1">
      <c r="G765" s="252"/>
    </row>
    <row r="766" ht="12.0" customHeight="1">
      <c r="G766" s="252"/>
    </row>
    <row r="767" ht="12.0" customHeight="1">
      <c r="G767" s="252"/>
    </row>
    <row r="768" ht="12.0" customHeight="1">
      <c r="G768" s="252"/>
    </row>
    <row r="769" ht="12.0" customHeight="1">
      <c r="G769" s="252"/>
    </row>
    <row r="770" ht="12.0" customHeight="1">
      <c r="G770" s="252"/>
    </row>
    <row r="771" ht="12.0" customHeight="1">
      <c r="G771" s="252"/>
    </row>
    <row r="772" ht="12.0" customHeight="1">
      <c r="G772" s="252"/>
    </row>
    <row r="773" ht="12.0" customHeight="1">
      <c r="G773" s="252"/>
    </row>
    <row r="774" ht="12.0" customHeight="1">
      <c r="G774" s="252"/>
    </row>
    <row r="775" ht="12.0" customHeight="1">
      <c r="G775" s="252"/>
    </row>
    <row r="776" ht="12.0" customHeight="1">
      <c r="G776" s="252"/>
    </row>
    <row r="777" ht="12.0" customHeight="1">
      <c r="G777" s="252"/>
    </row>
    <row r="778" ht="12.0" customHeight="1">
      <c r="G778" s="252"/>
    </row>
    <row r="779" ht="12.0" customHeight="1">
      <c r="G779" s="252"/>
    </row>
    <row r="780" ht="12.0" customHeight="1">
      <c r="G780" s="252"/>
    </row>
    <row r="781" ht="12.0" customHeight="1">
      <c r="G781" s="252"/>
    </row>
    <row r="782" ht="12.0" customHeight="1">
      <c r="G782" s="252"/>
    </row>
    <row r="783" ht="12.0" customHeight="1">
      <c r="G783" s="252"/>
    </row>
    <row r="784" ht="12.0" customHeight="1">
      <c r="G784" s="252"/>
    </row>
    <row r="785" ht="12.0" customHeight="1">
      <c r="G785" s="252"/>
    </row>
    <row r="786" ht="12.0" customHeight="1">
      <c r="G786" s="252"/>
    </row>
    <row r="787" ht="12.0" customHeight="1">
      <c r="G787" s="252"/>
    </row>
    <row r="788" ht="12.0" customHeight="1">
      <c r="G788" s="252"/>
    </row>
    <row r="789" ht="12.0" customHeight="1">
      <c r="G789" s="252"/>
    </row>
    <row r="790" ht="12.0" customHeight="1">
      <c r="G790" s="252"/>
    </row>
    <row r="791" ht="12.0" customHeight="1">
      <c r="G791" s="252"/>
    </row>
    <row r="792" ht="12.0" customHeight="1">
      <c r="G792" s="252"/>
    </row>
    <row r="793" ht="12.0" customHeight="1">
      <c r="G793" s="252"/>
    </row>
    <row r="794" ht="12.0" customHeight="1">
      <c r="G794" s="252"/>
    </row>
    <row r="795" ht="12.0" customHeight="1">
      <c r="G795" s="252"/>
    </row>
    <row r="796" ht="12.0" customHeight="1">
      <c r="G796" s="252"/>
    </row>
    <row r="797" ht="12.0" customHeight="1">
      <c r="G797" s="252"/>
    </row>
    <row r="798" ht="12.0" customHeight="1">
      <c r="G798" s="252"/>
    </row>
    <row r="799" ht="12.0" customHeight="1">
      <c r="G799" s="252"/>
    </row>
    <row r="800" ht="12.0" customHeight="1">
      <c r="G800" s="252"/>
    </row>
    <row r="801" ht="12.0" customHeight="1">
      <c r="G801" s="252"/>
    </row>
    <row r="802" ht="12.0" customHeight="1">
      <c r="G802" s="252"/>
    </row>
    <row r="803" ht="12.0" customHeight="1">
      <c r="G803" s="252"/>
    </row>
    <row r="804" ht="12.0" customHeight="1">
      <c r="G804" s="252"/>
    </row>
    <row r="805" ht="12.0" customHeight="1">
      <c r="G805" s="252"/>
    </row>
    <row r="806" ht="12.0" customHeight="1">
      <c r="G806" s="252"/>
    </row>
    <row r="807" ht="12.0" customHeight="1">
      <c r="G807" s="252"/>
    </row>
    <row r="808" ht="12.0" customHeight="1">
      <c r="G808" s="252"/>
    </row>
    <row r="809" ht="12.0" customHeight="1">
      <c r="G809" s="252"/>
    </row>
    <row r="810" ht="12.0" customHeight="1">
      <c r="G810" s="252"/>
    </row>
    <row r="811" ht="12.0" customHeight="1">
      <c r="G811" s="252"/>
    </row>
    <row r="812" ht="12.0" customHeight="1">
      <c r="G812" s="252"/>
    </row>
    <row r="813" ht="12.0" customHeight="1">
      <c r="G813" s="252"/>
    </row>
    <row r="814" ht="12.0" customHeight="1">
      <c r="G814" s="252"/>
    </row>
    <row r="815" ht="12.0" customHeight="1">
      <c r="G815" s="252"/>
    </row>
    <row r="816" ht="12.0" customHeight="1">
      <c r="G816" s="252"/>
    </row>
    <row r="817" ht="12.0" customHeight="1">
      <c r="G817" s="252"/>
    </row>
    <row r="818" ht="12.0" customHeight="1">
      <c r="G818" s="252"/>
    </row>
    <row r="819" ht="12.0" customHeight="1">
      <c r="G819" s="252"/>
    </row>
    <row r="820" ht="12.0" customHeight="1">
      <c r="G820" s="252"/>
    </row>
    <row r="821" ht="12.0" customHeight="1">
      <c r="G821" s="252"/>
    </row>
    <row r="822" ht="12.0" customHeight="1">
      <c r="G822" s="252"/>
    </row>
    <row r="823" ht="12.0" customHeight="1">
      <c r="G823" s="252"/>
    </row>
    <row r="824" ht="12.0" customHeight="1">
      <c r="G824" s="252"/>
    </row>
    <row r="825" ht="12.0" customHeight="1">
      <c r="G825" s="252"/>
    </row>
    <row r="826" ht="12.0" customHeight="1">
      <c r="G826" s="252"/>
    </row>
    <row r="827" ht="12.0" customHeight="1">
      <c r="G827" s="252"/>
    </row>
    <row r="828" ht="12.0" customHeight="1">
      <c r="G828" s="252"/>
    </row>
    <row r="829" ht="12.0" customHeight="1">
      <c r="G829" s="252"/>
    </row>
    <row r="830" ht="12.0" customHeight="1">
      <c r="G830" s="252"/>
    </row>
    <row r="831" ht="12.0" customHeight="1">
      <c r="G831" s="252"/>
    </row>
    <row r="832" ht="12.0" customHeight="1">
      <c r="G832" s="252"/>
    </row>
    <row r="833" ht="12.0" customHeight="1">
      <c r="G833" s="252"/>
    </row>
    <row r="834" ht="12.0" customHeight="1">
      <c r="G834" s="252"/>
    </row>
    <row r="835" ht="12.0" customHeight="1">
      <c r="G835" s="252"/>
    </row>
    <row r="836" ht="12.0" customHeight="1">
      <c r="G836" s="252"/>
    </row>
    <row r="837" ht="12.0" customHeight="1">
      <c r="G837" s="252"/>
    </row>
    <row r="838" ht="12.0" customHeight="1">
      <c r="G838" s="252"/>
    </row>
    <row r="839" ht="12.0" customHeight="1">
      <c r="G839" s="252"/>
    </row>
    <row r="840" ht="12.0" customHeight="1">
      <c r="G840" s="252"/>
    </row>
    <row r="841" ht="12.0" customHeight="1">
      <c r="G841" s="252"/>
    </row>
    <row r="842" ht="12.0" customHeight="1">
      <c r="G842" s="252"/>
    </row>
    <row r="843" ht="12.0" customHeight="1">
      <c r="G843" s="252"/>
    </row>
    <row r="844" ht="12.0" customHeight="1">
      <c r="G844" s="252"/>
    </row>
    <row r="845" ht="12.0" customHeight="1">
      <c r="G845" s="252"/>
    </row>
    <row r="846" ht="12.0" customHeight="1">
      <c r="G846" s="252"/>
    </row>
    <row r="847" ht="12.0" customHeight="1">
      <c r="G847" s="252"/>
    </row>
    <row r="848" ht="12.0" customHeight="1">
      <c r="G848" s="252"/>
    </row>
    <row r="849" ht="12.0" customHeight="1">
      <c r="G849" s="252"/>
    </row>
    <row r="850" ht="12.0" customHeight="1">
      <c r="G850" s="252"/>
    </row>
    <row r="851" ht="12.0" customHeight="1">
      <c r="G851" s="252"/>
    </row>
    <row r="852" ht="12.0" customHeight="1">
      <c r="G852" s="252"/>
    </row>
    <row r="853" ht="12.0" customHeight="1">
      <c r="G853" s="252"/>
    </row>
    <row r="854" ht="12.0" customHeight="1">
      <c r="G854" s="252"/>
    </row>
    <row r="855" ht="12.0" customHeight="1">
      <c r="G855" s="252"/>
    </row>
    <row r="856" ht="12.0" customHeight="1">
      <c r="G856" s="252"/>
    </row>
    <row r="857" ht="12.0" customHeight="1">
      <c r="G857" s="252"/>
    </row>
    <row r="858" ht="12.0" customHeight="1">
      <c r="G858" s="252"/>
    </row>
    <row r="859" ht="12.0" customHeight="1">
      <c r="G859" s="252"/>
    </row>
    <row r="860" ht="12.0" customHeight="1">
      <c r="G860" s="252"/>
    </row>
    <row r="861" ht="12.0" customHeight="1">
      <c r="G861" s="252"/>
    </row>
    <row r="862" ht="12.0" customHeight="1">
      <c r="G862" s="252"/>
    </row>
    <row r="863" ht="12.0" customHeight="1">
      <c r="G863" s="252"/>
    </row>
    <row r="864" ht="12.0" customHeight="1">
      <c r="G864" s="252"/>
    </row>
    <row r="865" ht="12.0" customHeight="1">
      <c r="G865" s="252"/>
    </row>
    <row r="866" ht="12.0" customHeight="1">
      <c r="G866" s="252"/>
    </row>
    <row r="867" ht="12.0" customHeight="1">
      <c r="G867" s="252"/>
    </row>
    <row r="868" ht="12.0" customHeight="1">
      <c r="G868" s="252"/>
    </row>
    <row r="869" ht="12.0" customHeight="1">
      <c r="G869" s="252"/>
    </row>
    <row r="870" ht="12.0" customHeight="1">
      <c r="G870" s="252"/>
    </row>
    <row r="871" ht="12.0" customHeight="1">
      <c r="G871" s="252"/>
    </row>
    <row r="872" ht="12.0" customHeight="1">
      <c r="G872" s="252"/>
    </row>
    <row r="873" ht="12.0" customHeight="1">
      <c r="G873" s="252"/>
    </row>
    <row r="874" ht="12.0" customHeight="1">
      <c r="G874" s="252"/>
    </row>
    <row r="875" ht="12.0" customHeight="1">
      <c r="G875" s="252"/>
    </row>
    <row r="876" ht="12.0" customHeight="1">
      <c r="G876" s="252"/>
    </row>
    <row r="877" ht="12.0" customHeight="1">
      <c r="G877" s="252"/>
    </row>
    <row r="878" ht="12.0" customHeight="1">
      <c r="G878" s="252"/>
    </row>
    <row r="879" ht="12.0" customHeight="1">
      <c r="G879" s="252"/>
    </row>
    <row r="880" ht="12.0" customHeight="1">
      <c r="G880" s="252"/>
    </row>
    <row r="881" ht="12.0" customHeight="1">
      <c r="G881" s="252"/>
    </row>
    <row r="882" ht="12.0" customHeight="1">
      <c r="G882" s="252"/>
    </row>
    <row r="883" ht="12.0" customHeight="1">
      <c r="G883" s="252"/>
    </row>
    <row r="884" ht="12.0" customHeight="1">
      <c r="G884" s="252"/>
    </row>
    <row r="885" ht="12.0" customHeight="1">
      <c r="G885" s="252"/>
    </row>
    <row r="886" ht="12.0" customHeight="1">
      <c r="G886" s="252"/>
    </row>
    <row r="887" ht="12.0" customHeight="1">
      <c r="G887" s="252"/>
    </row>
    <row r="888" ht="12.0" customHeight="1">
      <c r="G888" s="252"/>
    </row>
    <row r="889" ht="12.0" customHeight="1">
      <c r="G889" s="252"/>
    </row>
    <row r="890" ht="12.0" customHeight="1">
      <c r="G890" s="252"/>
    </row>
    <row r="891" ht="12.0" customHeight="1">
      <c r="G891" s="252"/>
    </row>
    <row r="892" ht="12.0" customHeight="1">
      <c r="G892" s="252"/>
    </row>
    <row r="893" ht="12.0" customHeight="1">
      <c r="G893" s="252"/>
    </row>
    <row r="894" ht="12.0" customHeight="1">
      <c r="G894" s="252"/>
    </row>
    <row r="895" ht="12.0" customHeight="1">
      <c r="G895" s="252"/>
    </row>
    <row r="896" ht="12.0" customHeight="1">
      <c r="G896" s="252"/>
    </row>
    <row r="897" ht="12.0" customHeight="1">
      <c r="G897" s="252"/>
    </row>
    <row r="898" ht="12.0" customHeight="1">
      <c r="G898" s="252"/>
    </row>
    <row r="899" ht="12.0" customHeight="1">
      <c r="G899" s="252"/>
    </row>
    <row r="900" ht="12.0" customHeight="1">
      <c r="G900" s="252"/>
    </row>
    <row r="901" ht="12.0" customHeight="1">
      <c r="G901" s="252"/>
    </row>
    <row r="902" ht="12.0" customHeight="1">
      <c r="G902" s="252"/>
    </row>
    <row r="903" ht="12.0" customHeight="1">
      <c r="G903" s="252"/>
    </row>
    <row r="904" ht="12.0" customHeight="1">
      <c r="G904" s="252"/>
    </row>
    <row r="905" ht="12.0" customHeight="1">
      <c r="G905" s="252"/>
    </row>
    <row r="906" ht="12.0" customHeight="1">
      <c r="G906" s="252"/>
    </row>
    <row r="907" ht="12.0" customHeight="1">
      <c r="G907" s="252"/>
    </row>
    <row r="908" ht="12.0" customHeight="1">
      <c r="G908" s="252"/>
    </row>
    <row r="909" ht="12.0" customHeight="1">
      <c r="G909" s="252"/>
    </row>
    <row r="910" ht="12.0" customHeight="1">
      <c r="G910" s="252"/>
    </row>
    <row r="911" ht="12.0" customHeight="1">
      <c r="G911" s="252"/>
    </row>
    <row r="912" ht="12.0" customHeight="1">
      <c r="G912" s="252"/>
    </row>
    <row r="913" ht="12.0" customHeight="1">
      <c r="G913" s="252"/>
    </row>
    <row r="914" ht="12.0" customHeight="1">
      <c r="G914" s="252"/>
    </row>
    <row r="915" ht="12.0" customHeight="1">
      <c r="G915" s="252"/>
    </row>
    <row r="916" ht="12.0" customHeight="1">
      <c r="G916" s="252"/>
    </row>
    <row r="917" ht="12.0" customHeight="1">
      <c r="G917" s="252"/>
    </row>
    <row r="918" ht="12.0" customHeight="1">
      <c r="G918" s="252"/>
    </row>
    <row r="919" ht="12.0" customHeight="1">
      <c r="G919" s="252"/>
    </row>
    <row r="920" ht="12.0" customHeight="1">
      <c r="G920" s="252"/>
    </row>
    <row r="921" ht="12.0" customHeight="1">
      <c r="G921" s="252"/>
    </row>
    <row r="922" ht="12.0" customHeight="1">
      <c r="G922" s="252"/>
    </row>
    <row r="923" ht="12.0" customHeight="1">
      <c r="G923" s="252"/>
    </row>
    <row r="924" ht="12.0" customHeight="1">
      <c r="G924" s="252"/>
    </row>
    <row r="925" ht="12.0" customHeight="1">
      <c r="G925" s="252"/>
    </row>
    <row r="926" ht="12.0" customHeight="1">
      <c r="G926" s="252"/>
    </row>
    <row r="927" ht="12.0" customHeight="1">
      <c r="G927" s="252"/>
    </row>
    <row r="928" ht="12.0" customHeight="1">
      <c r="G928" s="252"/>
    </row>
    <row r="929" ht="12.0" customHeight="1">
      <c r="G929" s="252"/>
    </row>
    <row r="930" ht="12.0" customHeight="1">
      <c r="G930" s="252"/>
    </row>
    <row r="931" ht="12.0" customHeight="1">
      <c r="G931" s="252"/>
    </row>
    <row r="932" ht="12.0" customHeight="1">
      <c r="G932" s="252"/>
    </row>
    <row r="933" ht="12.0" customHeight="1">
      <c r="G933" s="252"/>
    </row>
    <row r="934" ht="12.0" customHeight="1">
      <c r="G934" s="252"/>
    </row>
    <row r="935" ht="12.0" customHeight="1">
      <c r="G935" s="252"/>
    </row>
    <row r="936" ht="12.0" customHeight="1">
      <c r="G936" s="252"/>
    </row>
    <row r="937" ht="12.0" customHeight="1">
      <c r="G937" s="252"/>
    </row>
    <row r="938" ht="12.0" customHeight="1">
      <c r="G938" s="252"/>
    </row>
    <row r="939" ht="12.0" customHeight="1">
      <c r="G939" s="252"/>
    </row>
    <row r="940" ht="12.0" customHeight="1">
      <c r="G940" s="252"/>
    </row>
    <row r="941" ht="12.0" customHeight="1">
      <c r="G941" s="252"/>
    </row>
    <row r="942" ht="12.0" customHeight="1">
      <c r="G942" s="252"/>
    </row>
    <row r="943" ht="12.0" customHeight="1">
      <c r="G943" s="252"/>
    </row>
    <row r="944" ht="12.0" customHeight="1">
      <c r="G944" s="252"/>
    </row>
    <row r="945" ht="12.0" customHeight="1">
      <c r="G945" s="252"/>
    </row>
    <row r="946" ht="12.0" customHeight="1">
      <c r="G946" s="252"/>
    </row>
    <row r="947" ht="12.0" customHeight="1">
      <c r="G947" s="252"/>
    </row>
    <row r="948" ht="12.0" customHeight="1">
      <c r="G948" s="252"/>
    </row>
    <row r="949" ht="12.0" customHeight="1">
      <c r="G949" s="252"/>
    </row>
    <row r="950" ht="12.0" customHeight="1">
      <c r="G950" s="252"/>
    </row>
    <row r="951" ht="12.0" customHeight="1">
      <c r="G951" s="252"/>
    </row>
    <row r="952" ht="12.0" customHeight="1">
      <c r="G952" s="252"/>
    </row>
    <row r="953" ht="12.0" customHeight="1">
      <c r="G953" s="252"/>
    </row>
    <row r="954" ht="12.0" customHeight="1">
      <c r="G954" s="252"/>
    </row>
    <row r="955" ht="12.0" customHeight="1">
      <c r="G955" s="252"/>
    </row>
    <row r="956" ht="12.0" customHeight="1">
      <c r="G956" s="252"/>
    </row>
    <row r="957" ht="12.0" customHeight="1">
      <c r="G957" s="252"/>
    </row>
    <row r="958" ht="12.0" customHeight="1">
      <c r="G958" s="252"/>
    </row>
    <row r="959" ht="12.0" customHeight="1">
      <c r="G959" s="252"/>
    </row>
    <row r="960" ht="12.0" customHeight="1">
      <c r="G960" s="252"/>
    </row>
    <row r="961" ht="12.0" customHeight="1">
      <c r="G961" s="252"/>
    </row>
    <row r="962" ht="12.0" customHeight="1">
      <c r="G962" s="252"/>
    </row>
    <row r="963" ht="12.0" customHeight="1">
      <c r="G963" s="252"/>
    </row>
    <row r="964" ht="12.0" customHeight="1">
      <c r="G964" s="252"/>
    </row>
    <row r="965" ht="12.0" customHeight="1">
      <c r="G965" s="252"/>
    </row>
    <row r="966" ht="12.0" customHeight="1">
      <c r="G966" s="252"/>
    </row>
    <row r="967" ht="12.0" customHeight="1">
      <c r="G967" s="252"/>
    </row>
    <row r="968" ht="12.0" customHeight="1">
      <c r="G968" s="252"/>
    </row>
    <row r="969" ht="12.0" customHeight="1">
      <c r="G969" s="252"/>
    </row>
    <row r="970" ht="12.0" customHeight="1">
      <c r="G970" s="252"/>
    </row>
    <row r="971" ht="12.0" customHeight="1">
      <c r="G971" s="252"/>
    </row>
    <row r="972" ht="12.0" customHeight="1">
      <c r="G972" s="252"/>
    </row>
    <row r="973" ht="12.0" customHeight="1">
      <c r="G973" s="252"/>
    </row>
    <row r="974" ht="12.0" customHeight="1">
      <c r="G974" s="252"/>
    </row>
    <row r="975" ht="12.0" customHeight="1">
      <c r="G975" s="252"/>
    </row>
    <row r="976" ht="12.0" customHeight="1">
      <c r="G976" s="252"/>
    </row>
    <row r="977" ht="12.0" customHeight="1">
      <c r="G977" s="252"/>
    </row>
    <row r="978" ht="12.0" customHeight="1">
      <c r="G978" s="252"/>
    </row>
    <row r="979" ht="12.0" customHeight="1">
      <c r="G979" s="252"/>
    </row>
    <row r="980" ht="12.0" customHeight="1">
      <c r="G980" s="252"/>
    </row>
    <row r="981" ht="12.0" customHeight="1">
      <c r="G981" s="252"/>
    </row>
    <row r="982" ht="12.0" customHeight="1">
      <c r="G982" s="252"/>
    </row>
    <row r="983" ht="12.0" customHeight="1">
      <c r="G983" s="252"/>
    </row>
    <row r="984" ht="12.0" customHeight="1">
      <c r="G984" s="252"/>
    </row>
    <row r="985" ht="12.0" customHeight="1">
      <c r="G985" s="252"/>
    </row>
    <row r="986" ht="12.0" customHeight="1">
      <c r="G986" s="252"/>
    </row>
    <row r="987" ht="12.0" customHeight="1">
      <c r="G987" s="252"/>
    </row>
    <row r="988" ht="12.0" customHeight="1">
      <c r="G988" s="252"/>
    </row>
    <row r="989" ht="12.0" customHeight="1">
      <c r="G989" s="252"/>
    </row>
    <row r="990" ht="12.0" customHeight="1">
      <c r="G990" s="252"/>
    </row>
    <row r="991" ht="12.0" customHeight="1">
      <c r="G991" s="252"/>
    </row>
    <row r="992" ht="12.0" customHeight="1">
      <c r="G992" s="252"/>
    </row>
    <row r="993" ht="12.0" customHeight="1">
      <c r="G993" s="252"/>
    </row>
    <row r="994" ht="12.0" customHeight="1">
      <c r="G994" s="252"/>
    </row>
    <row r="995" ht="12.0" customHeight="1">
      <c r="G995" s="252"/>
    </row>
    <row r="996" ht="12.0" customHeight="1">
      <c r="G996" s="252"/>
    </row>
    <row r="997" ht="12.0" customHeight="1">
      <c r="G997" s="252"/>
    </row>
    <row r="998" ht="12.0" customHeight="1">
      <c r="G998" s="252"/>
    </row>
    <row r="999" ht="12.0" customHeight="1">
      <c r="G999" s="252"/>
    </row>
    <row r="1000" ht="12.0" customHeight="1">
      <c r="G1000" s="252"/>
    </row>
  </sheetData>
  <mergeCells count="17">
    <mergeCell ref="H28:I29"/>
    <mergeCell ref="H30:I31"/>
    <mergeCell ref="K44:AN45"/>
    <mergeCell ref="B54:B57"/>
    <mergeCell ref="B63:B68"/>
    <mergeCell ref="K69:AN70"/>
    <mergeCell ref="B89:B95"/>
    <mergeCell ref="C120:G122"/>
    <mergeCell ref="J128:K128"/>
    <mergeCell ref="C144:F145"/>
    <mergeCell ref="A1:M1"/>
    <mergeCell ref="L2:M2"/>
    <mergeCell ref="D10:F10"/>
    <mergeCell ref="D11:F11"/>
    <mergeCell ref="D12:F13"/>
    <mergeCell ref="D16:F17"/>
    <mergeCell ref="H24:I26"/>
  </mergeCells>
  <conditionalFormatting sqref="F103">
    <cfRule type="cellIs" dxfId="0" priority="1" stopIfTrue="1" operator="greaterThanOrEqual">
      <formula>F102</formula>
    </cfRule>
  </conditionalFormatting>
  <conditionalFormatting sqref="G105:H105">
    <cfRule type="expression" dxfId="1" priority="2" stopIfTrue="1">
      <formula>F101="Option A"</formula>
    </cfRule>
  </conditionalFormatting>
  <conditionalFormatting sqref="F105">
    <cfRule type="expression" dxfId="2" priority="3" stopIfTrue="1">
      <formula>F101="Option A"</formula>
    </cfRule>
  </conditionalFormatting>
  <conditionalFormatting sqref="F109">
    <cfRule type="expression" dxfId="3" priority="4" stopIfTrue="1">
      <formula>F101="Option A"</formula>
    </cfRule>
  </conditionalFormatting>
  <conditionalFormatting sqref="E109">
    <cfRule type="expression" dxfId="4" priority="5" stopIfTrue="1">
      <formula>F101="Option A"</formula>
    </cfRule>
  </conditionalFormatting>
  <conditionalFormatting sqref="F35">
    <cfRule type="cellIs" dxfId="0" priority="6" stopIfTrue="1" operator="greaterThan">
      <formula>200</formula>
    </cfRule>
  </conditionalFormatting>
  <conditionalFormatting sqref="D116:F119">
    <cfRule type="cellIs" dxfId="5" priority="7" stopIfTrue="1" operator="notBetween">
      <formula>10</formula>
      <formula>80</formula>
    </cfRule>
  </conditionalFormatting>
  <conditionalFormatting sqref="G109:H109">
    <cfRule type="expression" dxfId="6" priority="8">
      <formula>F101="Option A"</formula>
    </cfRule>
  </conditionalFormatting>
  <conditionalFormatting sqref="E113:F113">
    <cfRule type="expression" dxfId="1" priority="9">
      <formula>F101="Option A"</formula>
    </cfRule>
  </conditionalFormatting>
  <conditionalFormatting sqref="F36:F37">
    <cfRule type="cellIs" dxfId="0" priority="10" operator="equal">
      <formula>"NA"</formula>
    </cfRule>
  </conditionalFormatting>
  <conditionalFormatting sqref="F36:F37">
    <cfRule type="cellIs" dxfId="7" priority="11" operator="equal">
      <formula>"""NA"""</formula>
    </cfRule>
  </conditionalFormatting>
  <conditionalFormatting sqref="F80">
    <cfRule type="cellIs" dxfId="0" priority="12" operator="lessThan">
      <formula>0.25</formula>
    </cfRule>
  </conditionalFormatting>
  <conditionalFormatting sqref="F83">
    <cfRule type="cellIs" dxfId="0" priority="13" operator="lessThan">
      <formula>$F$82</formula>
    </cfRule>
  </conditionalFormatting>
  <conditionalFormatting sqref="F85">
    <cfRule type="cellIs" dxfId="0" priority="14" operator="lessThan">
      <formula>1.1</formula>
    </cfRule>
  </conditionalFormatting>
  <conditionalFormatting sqref="F85">
    <cfRule type="cellIs" dxfId="5" priority="15" operator="between">
      <formula>1.1</formula>
      <formula>1.3</formula>
    </cfRule>
  </conditionalFormatting>
  <conditionalFormatting sqref="G89:I89 G91:I96">
    <cfRule type="expression" dxfId="8" priority="16">
      <formula>#REF!="Yes"</formula>
    </cfRule>
  </conditionalFormatting>
  <conditionalFormatting sqref="F89 F92">
    <cfRule type="cellIs" dxfId="0" priority="17" operator="greaterThanOrEqual">
      <formula>$F$87</formula>
    </cfRule>
  </conditionalFormatting>
  <conditionalFormatting sqref="F93 F98">
    <cfRule type="cellIs" dxfId="0" priority="18" operator="lessThan">
      <formula>1.1</formula>
    </cfRule>
  </conditionalFormatting>
  <conditionalFormatting sqref="F52">
    <cfRule type="cellIs" dxfId="0" priority="19" operator="lessThan">
      <formula>$F$48</formula>
    </cfRule>
  </conditionalFormatting>
  <conditionalFormatting sqref="F86">
    <cfRule type="expression" dxfId="1" priority="20">
      <formula>#REF!="Yes"</formula>
    </cfRule>
  </conditionalFormatting>
  <conditionalFormatting sqref="E36:I40">
    <cfRule type="expression" dxfId="1" priority="21" stopIfTrue="1">
      <formula>IF($F$34="No", "TRUE", "FALSE")</formula>
    </cfRule>
  </conditionalFormatting>
  <conditionalFormatting sqref="F41:F43">
    <cfRule type="cellIs" dxfId="0" priority="22" operator="lessThan">
      <formula>$F$22</formula>
    </cfRule>
  </conditionalFormatting>
  <conditionalFormatting sqref="F87:F88">
    <cfRule type="containsText" dxfId="0" priority="23" operator="containsText" text="NA">
      <formula>NOT(ISERROR(SEARCH(("NA"),(F87))))</formula>
    </cfRule>
  </conditionalFormatting>
  <conditionalFormatting sqref="F93">
    <cfRule type="cellIs" dxfId="5" priority="24" operator="between">
      <formula>1.1</formula>
      <formula>1.499999</formula>
    </cfRule>
  </conditionalFormatting>
  <conditionalFormatting sqref="F98">
    <cfRule type="cellIs" dxfId="5" priority="25" operator="between">
      <formula>1.1</formula>
      <formula>1.299999</formula>
    </cfRule>
  </conditionalFormatting>
  <conditionalFormatting sqref="F49">
    <cfRule type="cellIs" dxfId="0" priority="26" operator="lessThan">
      <formula>$F$48</formula>
    </cfRule>
  </conditionalFormatting>
  <conditionalFormatting sqref="AU61:AU68">
    <cfRule type="expression" dxfId="1" priority="27">
      <formula>#REF!="No"</formula>
    </cfRule>
  </conditionalFormatting>
  <conditionalFormatting sqref="AU61:AU68">
    <cfRule type="expression" dxfId="1" priority="28">
      <formula>$G$15="No"</formula>
    </cfRule>
  </conditionalFormatting>
  <conditionalFormatting sqref="E31:G31">
    <cfRule type="expression" dxfId="1" priority="29">
      <formula>$F$30="Power Limit"</formula>
    </cfRule>
  </conditionalFormatting>
  <conditionalFormatting sqref="B89 C91:C95 H30:I31 H86:I100">
    <cfRule type="expression" dxfId="1" priority="30">
      <formula>$F$30="Power Limit"</formula>
    </cfRule>
  </conditionalFormatting>
  <conditionalFormatting sqref="H28:I29">
    <cfRule type="expression" dxfId="1" priority="31">
      <formula>$F$30="Soft Start"</formula>
    </cfRule>
  </conditionalFormatting>
  <conditionalFormatting sqref="F67">
    <cfRule type="expression" dxfId="5" priority="32">
      <formula>AND($F$67&gt;1.1,$F$67&lt;1.3)</formula>
    </cfRule>
  </conditionalFormatting>
  <conditionalFormatting sqref="F67">
    <cfRule type="expression" dxfId="0" priority="33">
      <formula>$F$67&lt;1.1</formula>
    </cfRule>
  </conditionalFormatting>
  <conditionalFormatting sqref="G67">
    <cfRule type="expression" dxfId="5" priority="34">
      <formula>AND($G$67&gt;1.1,$G$67&lt;1.3)</formula>
    </cfRule>
  </conditionalFormatting>
  <conditionalFormatting sqref="G67">
    <cfRule type="expression" dxfId="0" priority="35">
      <formula>$G$67&lt;1.1</formula>
    </cfRule>
  </conditionalFormatting>
  <conditionalFormatting sqref="H67">
    <cfRule type="expression" dxfId="5" priority="36">
      <formula>AND($H$67&gt;1.1,$H$67&lt;1.3)</formula>
    </cfRule>
  </conditionalFormatting>
  <conditionalFormatting sqref="H67">
    <cfRule type="expression" dxfId="0" priority="37">
      <formula>$H$67&lt;1.5</formula>
    </cfRule>
  </conditionalFormatting>
  <conditionalFormatting sqref="E86:G100">
    <cfRule type="expression" dxfId="1" priority="38">
      <formula>$F$30="Power Limit"</formula>
    </cfRule>
  </conditionalFormatting>
  <conditionalFormatting sqref="E105">
    <cfRule type="expression" dxfId="1" priority="39">
      <formula>$F$101="Option A"</formula>
    </cfRule>
  </conditionalFormatting>
  <conditionalFormatting sqref="I113">
    <cfRule type="expression" dxfId="1" priority="40">
      <formula>K101="Option A"</formula>
    </cfRule>
  </conditionalFormatting>
  <conditionalFormatting sqref="I105">
    <cfRule type="expression" dxfId="1" priority="41" stopIfTrue="1">
      <formula>G101="Option A"</formula>
    </cfRule>
  </conditionalFormatting>
  <conditionalFormatting sqref="I109">
    <cfRule type="expression" dxfId="6" priority="42">
      <formula>G101="Option A"</formula>
    </cfRule>
  </conditionalFormatting>
  <conditionalFormatting sqref="G113:H113">
    <cfRule type="expression" dxfId="1" priority="43">
      <formula>J101="Option A"</formula>
    </cfRule>
  </conditionalFormatting>
  <conditionalFormatting sqref="AJ130:AJ140">
    <cfRule type="expression" dxfId="1" priority="44">
      <formula>#REF!="No"</formula>
    </cfRule>
  </conditionalFormatting>
  <conditionalFormatting sqref="AJ130:AJ140">
    <cfRule type="expression" dxfId="1" priority="45">
      <formula>$G$15="No"</formula>
    </cfRule>
  </conditionalFormatting>
  <conditionalFormatting sqref="F72">
    <cfRule type="expression" dxfId="1" priority="46">
      <formula>$F$30="Soft Start"</formula>
    </cfRule>
  </conditionalFormatting>
  <conditionalFormatting sqref="F73">
    <cfRule type="expression" dxfId="1" priority="47">
      <formula>$F$30="Power Limit"</formula>
    </cfRule>
  </conditionalFormatting>
  <conditionalFormatting sqref="F79:G85">
    <cfRule type="expression" dxfId="1" priority="48">
      <formula>$F$30="Soft Start"</formula>
    </cfRule>
  </conditionalFormatting>
  <conditionalFormatting sqref="E79:E85">
    <cfRule type="expression" dxfId="9" priority="49">
      <formula>$F$30="Soft Start"</formula>
    </cfRule>
  </conditionalFormatting>
  <conditionalFormatting sqref="E78">
    <cfRule type="expression" dxfId="1" priority="50">
      <formula>$F$30="Soft Start"</formula>
    </cfRule>
  </conditionalFormatting>
  <dataValidations>
    <dataValidation type="decimal" operator="lessThanOrEqual" allowBlank="1" showInputMessage="1" showErrorMessage="1" prompt="Maximum System Voltage Violation - The maximum system voltage must be no greater than 80V." sqref="F21">
      <formula1>'Device Parameters'!E5</formula1>
    </dataValidation>
    <dataValidation type="decimal" allowBlank="1" showInputMessage="1" showErrorMessage="1" prompt="Minimum System Voltage Violation - Input voltage should be between 10V and 80V." sqref="F20">
      <formula1>F19</formula1>
      <formula2>F21</formula2>
    </dataValidation>
    <dataValidation type="decimal" operator="lessThanOrEqual" allowBlank="1" showErrorMessage="1" sqref="F27">
      <formula1>F21</formula1>
    </dataValidation>
    <dataValidation type="decimal" allowBlank="1" showInputMessage="1" showErrorMessage="1" prompt="Lower UVLO Violation - The lower UVLO threshold MUST be at least 2.65V, and  less than the upper UVLO threshold. They cannot be equal." sqref="F103">
      <formula1>2.65</formula1>
      <formula2>F102</formula2>
    </dataValidation>
    <dataValidation type="decimal" operator="greaterThanOrEqual" allowBlank="1" showInputMessage="1" showErrorMessage="1" prompt="Load Capacitance Violation - A minimum load capacitance of 10 uF is required to help prevent disruptions at turn off." sqref="F23">
      <formula1>10.0</formula1>
    </dataValidation>
    <dataValidation type="decimal" allowBlank="1" showErrorMessage="1" sqref="H55">
      <formula1>1.0</formula1>
      <formula2>6.0</formula2>
    </dataValidation>
    <dataValidation type="list" allowBlank="1" showErrorMessage="1" sqref="F46">
      <formula1>"1.9 x Current Limit,3.9 x Current Limit"</formula1>
    </dataValidation>
    <dataValidation type="list" allowBlank="1" showErrorMessage="1" sqref="F28">
      <formula1>$AN$73:$AN$74</formula1>
    </dataValidation>
    <dataValidation type="list" allowBlank="1" showErrorMessage="1" sqref="F86">
      <formula1>$AP$34:$AP$35</formula1>
    </dataValidation>
    <dataValidation type="custom" allowBlank="1" showInputMessage="1" prompt="Resistor Divider - When using resistor divider Rs should be set larger than Rs,eff. _x000a__x000a_Otherwise switch to &quot;No resistor divider&quot;" sqref="F36">
      <formula1>"""NA"""</formula1>
    </dataValidation>
    <dataValidation type="list" allowBlank="1" showErrorMessage="1" sqref="F101">
      <formula1>$AP$97:$AP$98</formula1>
    </dataValidation>
    <dataValidation type="decimal" allowBlank="1" showInputMessage="1" showErrorMessage="1" prompt="UVLO Threshold Violation - The upper UVLO threshold must be no less than 10V, and no greater than 80V." sqref="F102">
      <formula1>10.0</formula1>
      <formula2>80.0</formula2>
    </dataValidation>
    <dataValidation type="list" allowBlank="1" showErrorMessage="1" sqref="F30">
      <formula1>"Soft Start,Power Limit"</formula1>
    </dataValidation>
    <dataValidation type="list" allowBlank="1" showErrorMessage="1" sqref="F34">
      <formula1>"Yes,No"</formula1>
    </dataValidation>
    <dataValidation type="decimal" operator="greaterThanOrEqual" allowBlank="1" showInputMessage="1" showErrorMessage="1" prompt="Ambient Temperature Violation - The Ambient Temperature must be between -40C and 125C" sqref="F25">
      <formula1>70.0</formula1>
    </dataValidation>
    <dataValidation type="decimal" allowBlank="1" showInputMessage="1" showErrorMessage="1" prompt="Upper OVLO Threshold Violation - The Upper OVLO Threshold must be greater than the upper UVLO threshold, and less than 80V." sqref="F104">
      <formula1>F102+0.01</formula1>
      <formula2>80.0</formula2>
    </dataValidation>
    <dataValidation type="decimal" allowBlank="1" showInputMessage="1" showErrorMessage="1" prompt="Must enter a value less than 10" sqref="F39">
      <formula1>0.0</formula1>
      <formula2>10.0</formula2>
    </dataValidation>
    <dataValidation type="decimal" operator="lessThanOrEqual" allowBlank="1" showErrorMessage="1" sqref="F29">
      <formula1>F22</formula1>
    </dataValidation>
    <dataValidation type="decimal" allowBlank="1" showInputMessage="1" showErrorMessage="1" prompt="Ambient Temperature Violation - The Ambient Temperature must be between -40C and 125C" sqref="F24">
      <formula1>'Device Parameters'!C4</formula1>
      <formula2>'Device Parameters'!E4</formula2>
    </dataValidation>
    <dataValidation type="list" allowBlank="1" showErrorMessage="1" sqref="F54:G54">
      <formula1>$BE$54:$BE$71</formula1>
    </dataValidation>
    <dataValidation type="decimal" operator="greaterThanOrEqual" allowBlank="1" showInputMessage="1" showErrorMessage="1" prompt="Minimum System Voltage Violation - The minimum system voltage must be at least 9V." sqref="F19">
      <formula1>'Device Parameters'!C5</formula1>
    </dataValidation>
    <dataValidation type="list" allowBlank="1" showErrorMessage="1" sqref="F45">
      <formula1>"Retry,Latch Off"</formula1>
    </dataValidation>
    <dataValidation type="list" allowBlank="1" showErrorMessage="1" sqref="F62:G62">
      <formula1>$BE$62:$BE$79</formula1>
    </dataValidation>
    <dataValidation type="decimal" allowBlank="1" showInputMessage="1" showErrorMessage="1" prompt="Lower OVLO Threshold Violation - The lower OVLO threshold must be greater than the upper UVLO threshold, and less than the upper OVLO threshold." sqref="F105">
      <formula1>F102+0.01</formula1>
      <formula2>F104</formula2>
    </dataValidation>
    <dataValidation type="list" allowBlank="1" showErrorMessage="1" sqref="F75">
      <formula1>$F$54:$H$54</formula1>
    </dataValidation>
    <dataValidation type="decimal" operator="greaterThan" allowBlank="1" showInputMessage="1" showErrorMessage="1" prompt="Maximum Load Current Violation - Maximum Load Current must be greater than 0." sqref="F22">
      <formula1>0.0</formula1>
    </dataValidation>
    <dataValidation type="decimal" operator="greaterThan" allowBlank="1" showErrorMessage="1" sqref="F38 F40">
      <formula1>0.0</formula1>
    </dataValidation>
    <dataValidation type="decimal" allowBlank="1" showInputMessage="1" showErrorMessage="1" prompt="Ambient Temperature Violation - The Ambient Temperature must be between -40C and 125C" sqref="F31">
      <formula1>'Device Parameters'!C7</formula1>
      <formula2>'Device Parameters'!E7</formula2>
    </dataValidation>
  </dataValidations>
  <hyperlinks>
    <hyperlink r:id="rId2" ref="B2"/>
    <hyperlink r:id="rId3" ref="D15"/>
  </hyperlinks>
  <printOptions/>
  <pageMargins bottom="0.92" footer="0.0" header="0.0" left="0.17" right="0.17" top="0.55"/>
  <pageSetup scale="62" orientation="portrait"/>
  <drawing r:id="rId4"/>
  <legacyDrawing r:id="rId5"/>
  <tableParts count="2">
    <tablePart r:id="rId8"/>
    <tablePart r:id="rId9"/>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43"/>
    <col customWidth="1" min="2" max="2" width="24.29"/>
    <col customWidth="1" min="3" max="3" width="9.14"/>
    <col customWidth="1" min="4" max="11" width="8.71"/>
    <col customWidth="1" min="12" max="12" width="13.57"/>
    <col customWidth="1" min="13" max="26" width="8.71"/>
  </cols>
  <sheetData>
    <row r="1" ht="12.0" customHeight="1"/>
    <row r="2" ht="12.0" customHeight="1">
      <c r="A2" s="11"/>
      <c r="C2" s="11" t="s">
        <v>263</v>
      </c>
      <c r="D2" s="11" t="s">
        <v>264</v>
      </c>
      <c r="E2" s="11" t="s">
        <v>265</v>
      </c>
      <c r="F2" s="11" t="s">
        <v>231</v>
      </c>
    </row>
    <row r="3" ht="12.0" customHeight="1">
      <c r="A3" s="135" t="s">
        <v>266</v>
      </c>
      <c r="C3" s="11"/>
      <c r="D3" s="11"/>
      <c r="E3" s="11"/>
    </row>
    <row r="4" ht="12.0" customHeight="1">
      <c r="A4" s="135"/>
      <c r="B4" s="11" t="s">
        <v>267</v>
      </c>
      <c r="C4" s="252">
        <v>-40.0</v>
      </c>
      <c r="D4" s="252"/>
      <c r="E4" s="252">
        <v>125.0</v>
      </c>
    </row>
    <row r="5" ht="12.0" customHeight="1">
      <c r="B5" s="235" t="s">
        <v>268</v>
      </c>
      <c r="C5" s="252">
        <v>9.0</v>
      </c>
      <c r="D5" s="252"/>
      <c r="E5" s="252">
        <v>80.0</v>
      </c>
      <c r="F5" s="11" t="s">
        <v>54</v>
      </c>
      <c r="J5" s="235"/>
    </row>
    <row r="6" ht="16.5" customHeight="1">
      <c r="A6" s="135" t="s">
        <v>269</v>
      </c>
      <c r="B6" s="235"/>
      <c r="C6" s="252"/>
      <c r="D6" s="252"/>
      <c r="E6" s="252"/>
      <c r="J6" s="235"/>
    </row>
    <row r="7" ht="12.0" customHeight="1">
      <c r="B7" s="235"/>
      <c r="C7" s="252"/>
      <c r="D7" s="252"/>
      <c r="E7" s="252"/>
      <c r="J7" s="235"/>
    </row>
    <row r="8" ht="12.0" customHeight="1">
      <c r="B8" s="235"/>
      <c r="C8" s="252">
        <v>48.5</v>
      </c>
      <c r="D8" s="252">
        <v>55.0</v>
      </c>
      <c r="E8" s="252">
        <v>61.5</v>
      </c>
      <c r="J8" s="235"/>
    </row>
    <row r="9" ht="12.0" customHeight="1">
      <c r="B9" s="235" t="s">
        <v>270</v>
      </c>
      <c r="C9" s="252"/>
      <c r="D9" s="252">
        <v>23.0</v>
      </c>
      <c r="E9" s="252"/>
      <c r="F9" s="11" t="s">
        <v>271</v>
      </c>
      <c r="J9" s="235"/>
    </row>
    <row r="10" ht="12.0" customHeight="1">
      <c r="C10" s="252"/>
      <c r="D10" s="252"/>
      <c r="E10" s="252"/>
    </row>
    <row r="11" ht="12.0" customHeight="1">
      <c r="A11" s="135" t="s">
        <v>237</v>
      </c>
      <c r="C11" s="252"/>
      <c r="D11" s="252"/>
      <c r="E11" s="252"/>
    </row>
    <row r="12" ht="12.0" customHeight="1">
      <c r="B12" s="11" t="s">
        <v>272</v>
      </c>
      <c r="C12" s="252"/>
      <c r="D12" s="252"/>
      <c r="E12" s="252">
        <v>0.001</v>
      </c>
      <c r="F12" s="11" t="s">
        <v>54</v>
      </c>
    </row>
    <row r="13" ht="12.0" customHeight="1">
      <c r="B13" s="11" t="s">
        <v>273</v>
      </c>
      <c r="C13" s="252"/>
      <c r="D13" s="252"/>
      <c r="E13" s="252">
        <v>0.005</v>
      </c>
      <c r="F13" s="11" t="s">
        <v>54</v>
      </c>
      <c r="G13" s="11" t="s">
        <v>274</v>
      </c>
    </row>
    <row r="14" ht="12.0" customHeight="1">
      <c r="B14" s="11" t="s">
        <v>275</v>
      </c>
      <c r="C14" s="252"/>
      <c r="D14" s="252"/>
      <c r="E14" s="253">
        <v>125000.0</v>
      </c>
      <c r="F14" s="11"/>
    </row>
    <row r="15" ht="12.0" customHeight="1">
      <c r="B15" s="11"/>
      <c r="C15" s="252"/>
      <c r="D15" s="252"/>
      <c r="E15" s="253"/>
      <c r="F15" s="11"/>
    </row>
    <row r="16" ht="12.0" customHeight="1">
      <c r="B16" s="11" t="s">
        <v>276</v>
      </c>
      <c r="C16" s="254" t="s">
        <v>277</v>
      </c>
      <c r="D16" s="252"/>
      <c r="E16" s="252"/>
      <c r="F16" s="11"/>
      <c r="I16" s="11" t="s">
        <v>278</v>
      </c>
      <c r="J16" s="11" t="s">
        <v>279</v>
      </c>
      <c r="K16" s="11" t="s">
        <v>280</v>
      </c>
      <c r="L16" s="11" t="s">
        <v>281</v>
      </c>
      <c r="M16" s="11" t="s">
        <v>282</v>
      </c>
      <c r="N16" s="11" t="s">
        <v>283</v>
      </c>
      <c r="P16" s="11" t="s">
        <v>282</v>
      </c>
      <c r="Q16" s="11" t="s">
        <v>280</v>
      </c>
    </row>
    <row r="17" ht="12.0" customHeight="1">
      <c r="B17" s="11"/>
      <c r="C17" s="254" t="s">
        <v>284</v>
      </c>
      <c r="D17" s="252"/>
      <c r="E17" s="252"/>
      <c r="F17" s="11"/>
      <c r="J17" s="108">
        <v>12.0</v>
      </c>
      <c r="K17" s="108">
        <v>25.0</v>
      </c>
      <c r="L17" s="108">
        <f t="shared" ref="L17:L18" si="1">0.5</f>
        <v>0.5</v>
      </c>
      <c r="M17" s="255">
        <f t="shared" ref="M17:M18" si="2">1/(0.001*L17)*(K17*1000/$E$14+J17*$E$12)</f>
        <v>424</v>
      </c>
      <c r="N17" s="256">
        <f>K17*1000/$E$14/J17+$E$12</f>
        <v>0.01766666667</v>
      </c>
      <c r="P17" s="108">
        <v>82.0</v>
      </c>
      <c r="Q17" s="257">
        <f>E14*(P17*L17*0.001-J17*E12)</f>
        <v>3625</v>
      </c>
    </row>
    <row r="18" ht="12.0" customHeight="1">
      <c r="B18" s="11"/>
      <c r="C18" s="254" t="s">
        <v>285</v>
      </c>
      <c r="D18" s="252"/>
      <c r="E18" s="252"/>
      <c r="F18" s="11"/>
      <c r="J18" s="108">
        <v>12.0</v>
      </c>
      <c r="K18" s="108">
        <v>5.0</v>
      </c>
      <c r="L18" s="108">
        <f t="shared" si="1"/>
        <v>0.5</v>
      </c>
      <c r="M18" s="255">
        <f t="shared" si="2"/>
        <v>104</v>
      </c>
      <c r="N18" s="256">
        <f>K18*1000/$E$14/J18+$E$12*0.001</f>
        <v>0.003334333333</v>
      </c>
    </row>
    <row r="19" ht="12.0" customHeight="1">
      <c r="B19" s="11" t="s">
        <v>286</v>
      </c>
      <c r="E19" s="252"/>
      <c r="F19" s="11"/>
      <c r="I19" s="11" t="s">
        <v>287</v>
      </c>
      <c r="M19" s="255"/>
      <c r="N19" s="256"/>
    </row>
    <row r="20" ht="12.0" customHeight="1">
      <c r="C20" s="252"/>
      <c r="D20" s="252"/>
      <c r="E20" s="252"/>
    </row>
    <row r="21" ht="12.0" customHeight="1">
      <c r="A21" s="135" t="s">
        <v>288</v>
      </c>
      <c r="C21" s="252"/>
      <c r="D21" s="252"/>
      <c r="E21" s="252"/>
    </row>
    <row r="22" ht="12.0" customHeight="1">
      <c r="B22" s="235" t="s">
        <v>289</v>
      </c>
      <c r="C22" s="252">
        <v>3.76</v>
      </c>
      <c r="D22" s="252">
        <v>4.0</v>
      </c>
      <c r="E22" s="252">
        <v>4.16</v>
      </c>
      <c r="F22" s="11" t="s">
        <v>54</v>
      </c>
    </row>
    <row r="23" ht="12.0" customHeight="1">
      <c r="B23" s="235" t="s">
        <v>290</v>
      </c>
      <c r="C23" s="252">
        <v>-8.0</v>
      </c>
      <c r="D23" s="252">
        <v>-5.5</v>
      </c>
      <c r="E23" s="252">
        <v>-3.0</v>
      </c>
      <c r="F23" s="11" t="s">
        <v>271</v>
      </c>
    </row>
    <row r="24" ht="12.0" customHeight="1">
      <c r="B24" s="235" t="s">
        <v>291</v>
      </c>
      <c r="C24" s="252"/>
      <c r="D24" s="252"/>
      <c r="E24" s="252"/>
      <c r="F24" s="11"/>
    </row>
    <row r="25" ht="12.0" customHeight="1">
      <c r="B25" s="235" t="s">
        <v>292</v>
      </c>
      <c r="C25" s="252">
        <v>120.0</v>
      </c>
      <c r="D25" s="252">
        <v>85.0</v>
      </c>
      <c r="E25" s="252">
        <v>51.0</v>
      </c>
      <c r="F25" s="11" t="s">
        <v>271</v>
      </c>
    </row>
    <row r="26" ht="12.0" customHeight="1">
      <c r="B26" s="235" t="s">
        <v>293</v>
      </c>
      <c r="C26" s="252"/>
      <c r="D26" s="252">
        <f>SQRT(0.66^2+ ((120-90)/90)^2+ 0.1^2)</f>
        <v>0.7461307601</v>
      </c>
      <c r="E26" s="252"/>
      <c r="F26" s="11"/>
      <c r="G26" s="11" t="s">
        <v>294</v>
      </c>
    </row>
    <row r="27" ht="12.0" customHeight="1">
      <c r="B27" s="235" t="s">
        <v>295</v>
      </c>
      <c r="C27" s="252"/>
      <c r="D27" s="252">
        <v>0.5</v>
      </c>
      <c r="E27" s="252"/>
      <c r="F27" s="11"/>
      <c r="G27" s="11" t="s">
        <v>296</v>
      </c>
    </row>
    <row r="28" ht="12.0" customHeight="1">
      <c r="B28" s="235"/>
      <c r="C28" s="252"/>
      <c r="D28" s="252"/>
      <c r="E28" s="252"/>
    </row>
    <row r="29" ht="12.0" customHeight="1">
      <c r="A29" s="135" t="s">
        <v>297</v>
      </c>
      <c r="B29" s="235"/>
      <c r="C29" s="252"/>
      <c r="D29" s="252"/>
      <c r="E29" s="252"/>
    </row>
    <row r="30" ht="12.0" customHeight="1">
      <c r="B30" s="235" t="s">
        <v>298</v>
      </c>
      <c r="C30" s="252">
        <v>10.0</v>
      </c>
      <c r="D30" s="252">
        <v>16.0</v>
      </c>
      <c r="E30" s="252">
        <v>22.0</v>
      </c>
    </row>
    <row r="31" ht="12.0" customHeight="1">
      <c r="B31" s="235"/>
      <c r="C31" s="252"/>
      <c r="D31" s="252"/>
      <c r="E31" s="252"/>
    </row>
    <row r="32" ht="12.0" customHeight="1">
      <c r="A32" s="135" t="s">
        <v>299</v>
      </c>
      <c r="B32" s="235"/>
      <c r="C32" s="252"/>
      <c r="F32" s="252"/>
    </row>
    <row r="33" ht="12.0" customHeight="1">
      <c r="B33" s="235"/>
      <c r="C33" s="252"/>
      <c r="D33" s="252"/>
      <c r="E33" s="252"/>
      <c r="F33" s="252"/>
      <c r="G33" s="252"/>
      <c r="H33" s="252"/>
    </row>
    <row r="34" ht="12.0" customHeight="1">
      <c r="B34" s="235"/>
      <c r="C34" s="252"/>
      <c r="D34" s="252"/>
      <c r="E34" s="252"/>
      <c r="F34" s="252"/>
      <c r="G34" s="252"/>
      <c r="H34" s="252"/>
    </row>
    <row r="35" ht="12.0" customHeight="1">
      <c r="B35" s="235"/>
      <c r="C35" s="252"/>
      <c r="D35" s="252"/>
      <c r="E35" s="252"/>
      <c r="F35" s="252"/>
      <c r="G35" s="252"/>
      <c r="H35" s="252"/>
    </row>
    <row r="36" ht="12.0" customHeight="1">
      <c r="B36" s="235"/>
      <c r="C36" s="252"/>
      <c r="D36" s="252"/>
      <c r="E36" s="252"/>
      <c r="F36" s="252"/>
      <c r="G36" s="252"/>
      <c r="H36" s="252"/>
    </row>
    <row r="37" ht="12.0" customHeight="1">
      <c r="B37" s="235"/>
      <c r="C37" s="252"/>
      <c r="D37" s="252"/>
      <c r="E37" s="252"/>
    </row>
    <row r="38" ht="12.0" customHeight="1">
      <c r="A38" s="135" t="s">
        <v>300</v>
      </c>
      <c r="B38" s="235"/>
    </row>
    <row r="39" ht="12.0" customHeight="1">
      <c r="B39" s="235" t="s">
        <v>289</v>
      </c>
      <c r="C39" s="108">
        <v>3.76</v>
      </c>
      <c r="D39" s="108">
        <v>4.0</v>
      </c>
      <c r="E39" s="108">
        <v>4.16</v>
      </c>
    </row>
    <row r="40" ht="12.0" customHeight="1">
      <c r="B40" s="235" t="s">
        <v>301</v>
      </c>
      <c r="C40" s="108">
        <v>1.187</v>
      </c>
      <c r="D40" s="108">
        <v>1.25</v>
      </c>
      <c r="E40" s="108">
        <v>1.313</v>
      </c>
    </row>
    <row r="41" ht="12.0" customHeight="1">
      <c r="B41" s="235" t="s">
        <v>302</v>
      </c>
      <c r="D41" s="108">
        <v>0.3</v>
      </c>
    </row>
    <row r="42" ht="12.0" customHeight="1">
      <c r="B42" s="235" t="s">
        <v>303</v>
      </c>
      <c r="D42" s="108">
        <v>0.3</v>
      </c>
    </row>
    <row r="43" ht="12.0" customHeight="1">
      <c r="B43" s="235" t="s">
        <v>304</v>
      </c>
      <c r="C43" s="108">
        <v>3.0</v>
      </c>
      <c r="D43" s="108">
        <v>5.5</v>
      </c>
      <c r="E43" s="108">
        <v>8.0</v>
      </c>
    </row>
    <row r="44" ht="12.0" customHeight="1">
      <c r="B44" s="235" t="s">
        <v>305</v>
      </c>
      <c r="C44" s="108">
        <v>1.0</v>
      </c>
      <c r="D44" s="108">
        <v>1.5</v>
      </c>
      <c r="E44" s="108">
        <v>2.0</v>
      </c>
    </row>
    <row r="45" ht="12.0" customHeight="1">
      <c r="B45" s="235" t="s">
        <v>292</v>
      </c>
      <c r="C45" s="108">
        <v>51.0</v>
      </c>
      <c r="D45" s="108">
        <v>85.0</v>
      </c>
      <c r="E45" s="108">
        <v>120.0</v>
      </c>
    </row>
    <row r="46" ht="12.0" customHeight="1">
      <c r="B46" s="235" t="s">
        <v>306</v>
      </c>
      <c r="C46" s="108">
        <v>1.25</v>
      </c>
      <c r="D46" s="108">
        <v>2.5</v>
      </c>
      <c r="E46" s="108">
        <v>3.75</v>
      </c>
    </row>
    <row r="47" ht="12.0" customHeight="1"/>
    <row r="48" ht="12.0" customHeight="1">
      <c r="A48" s="135" t="s">
        <v>307</v>
      </c>
    </row>
    <row r="49" ht="12.0" customHeight="1">
      <c r="B49" s="235" t="s">
        <v>308</v>
      </c>
      <c r="D49" s="108">
        <v>60.0</v>
      </c>
      <c r="E49" s="108">
        <v>150.0</v>
      </c>
      <c r="F49" s="11" t="s">
        <v>309</v>
      </c>
      <c r="G49" s="108">
        <v>2.0</v>
      </c>
      <c r="H49" s="11" t="s">
        <v>310</v>
      </c>
    </row>
    <row r="50" ht="12.0" customHeight="1">
      <c r="A50" s="135" t="s">
        <v>311</v>
      </c>
    </row>
    <row r="51" ht="12.0" customHeight="1">
      <c r="B51" s="11" t="s">
        <v>312</v>
      </c>
      <c r="C51" s="108">
        <v>2.41</v>
      </c>
      <c r="D51" s="108">
        <v>2.46</v>
      </c>
      <c r="E51" s="108">
        <v>2.52</v>
      </c>
      <c r="F51" s="11" t="s">
        <v>54</v>
      </c>
    </row>
    <row r="52" ht="12.0" customHeight="1">
      <c r="B52" s="11" t="s">
        <v>313</v>
      </c>
      <c r="C52" s="108">
        <v>15.0</v>
      </c>
      <c r="D52" s="108">
        <v>20.0</v>
      </c>
      <c r="E52" s="108">
        <v>25.0</v>
      </c>
      <c r="F52" s="11" t="s">
        <v>271</v>
      </c>
    </row>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2">
    <mergeCell ref="C32:E32"/>
    <mergeCell ref="F32:H32"/>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71"/>
    <col customWidth="1" min="6" max="6" width="12.43"/>
    <col customWidth="1" min="7" max="7" width="8.71"/>
    <col customWidth="1" min="8" max="8" width="14.0"/>
    <col customWidth="1" min="9" max="9" width="12.71"/>
    <col customWidth="1" min="10" max="10" width="11.71"/>
    <col customWidth="1" min="11" max="26" width="8.71"/>
  </cols>
  <sheetData>
    <row r="1" ht="12.0" customHeight="1"/>
    <row r="2" ht="12.0" customHeight="1"/>
    <row r="3" ht="12.0" customHeight="1"/>
    <row r="4" ht="12.0" customHeight="1"/>
    <row r="5" ht="12.0" customHeight="1"/>
    <row r="6" ht="12.0" customHeight="1"/>
    <row r="7" ht="12.0" customHeight="1"/>
    <row r="8" ht="12.0" customHeight="1"/>
    <row r="9" ht="12.0" customHeight="1"/>
    <row r="10" ht="12.0" customHeight="1"/>
    <row r="11" ht="12.0" customHeight="1"/>
    <row r="12" ht="12.0" customHeight="1"/>
    <row r="13" ht="12.0" customHeight="1">
      <c r="A13" s="135" t="s">
        <v>269</v>
      </c>
    </row>
    <row r="14" ht="12.0" customHeight="1">
      <c r="E14" s="235"/>
    </row>
    <row r="15" ht="12.0" customHeight="1">
      <c r="D15" s="108" t="s">
        <v>314</v>
      </c>
      <c r="E15" s="108">
        <f>IF('Design Calculator'!$F$32="26 mV",'Device Parameters'!C7,'Device Parameters'!C8)</f>
        <v>48.5</v>
      </c>
      <c r="F15" s="254" t="s">
        <v>309</v>
      </c>
    </row>
    <row r="16" ht="12.0" customHeight="1">
      <c r="D16" s="108" t="s">
        <v>315</v>
      </c>
      <c r="E16" s="108">
        <f>IF('Design Calculator'!$F$32="26 mV",'Device Parameters'!D7,'Device Parameters'!D8)</f>
        <v>55</v>
      </c>
      <c r="F16" s="254" t="s">
        <v>309</v>
      </c>
    </row>
    <row r="17" ht="12.0" customHeight="1">
      <c r="D17" s="108" t="s">
        <v>316</v>
      </c>
      <c r="E17" s="108">
        <f>IF('Design Calculator'!$F$32="26 mV",'Device Parameters'!E7,'Device Parameters'!E8)</f>
        <v>61.5</v>
      </c>
      <c r="F17" s="254" t="s">
        <v>309</v>
      </c>
    </row>
    <row r="18" ht="12.0" customHeight="1">
      <c r="E18" s="235"/>
    </row>
    <row r="19" ht="12.0" customHeight="1">
      <c r="A19" s="135"/>
      <c r="E19" s="235"/>
    </row>
    <row r="20" ht="12.0" customHeight="1">
      <c r="E20" s="235" t="s">
        <v>317</v>
      </c>
      <c r="F20" s="108">
        <f>CLMIN_Threshold/('Design Calculator'!F22*1.01)</f>
        <v>6.002475248</v>
      </c>
    </row>
    <row r="21" ht="12.0" customHeight="1">
      <c r="E21" s="235" t="s">
        <v>318</v>
      </c>
      <c r="F21" s="11" t="str">
        <f>IF(Rs&gt;RsMAX,10,"NA")</f>
        <v>NA</v>
      </c>
    </row>
    <row r="22" ht="12.0" customHeight="1">
      <c r="E22" s="235" t="s">
        <v>319</v>
      </c>
      <c r="F22" s="108" t="str">
        <f>IF(Rs&gt;RsMAX,(((IOUTMAX*Rs)/CLMIN_Threshold)-1)*F21,"NA")</f>
        <v>NA</v>
      </c>
    </row>
    <row r="23" ht="12.0" customHeight="1">
      <c r="E23" s="235" t="s">
        <v>320</v>
      </c>
      <c r="F23" s="108">
        <f>IF(RsMAX&gt;Rs,Rs,IF('Design Calculator'!F34="Yes",IF(Rs&gt;RsMAX,Rs/(1+RDIV2/RDIV1),Rs),Rs))</f>
        <v>2.5</v>
      </c>
      <c r="H23" s="258"/>
    </row>
    <row r="24" ht="12.0" customHeight="1">
      <c r="E24" s="235" t="s">
        <v>321</v>
      </c>
      <c r="F24" s="143">
        <f>CLMIN_Threshold/RsEFF</f>
        <v>19.4</v>
      </c>
      <c r="G24" s="143"/>
    </row>
    <row r="25" ht="12.0" customHeight="1">
      <c r="E25" s="235" t="s">
        <v>322</v>
      </c>
      <c r="F25" s="108">
        <f>CLNOM_Threshold/RsEFF</f>
        <v>22</v>
      </c>
    </row>
    <row r="26" ht="12.0" customHeight="1">
      <c r="E26" s="235" t="s">
        <v>323</v>
      </c>
      <c r="F26" s="108">
        <f>CLMAX_Threshold/RsEFF</f>
        <v>24.6</v>
      </c>
    </row>
    <row r="27" ht="12.0" customHeight="1">
      <c r="E27" s="235" t="s">
        <v>324</v>
      </c>
      <c r="F27" s="108">
        <f>F26^2*'Design Calculator'!F35</f>
        <v>1512.9</v>
      </c>
    </row>
    <row r="28" ht="12.0" customHeight="1"/>
    <row r="29" ht="12.0" customHeight="1"/>
    <row r="30" ht="12.0" customHeight="1">
      <c r="E30" s="235"/>
    </row>
    <row r="31" ht="12.0" customHeight="1">
      <c r="A31" s="135" t="s">
        <v>325</v>
      </c>
    </row>
    <row r="32" ht="12.0" customHeight="1">
      <c r="A32" s="11"/>
      <c r="F32" s="11" t="s">
        <v>326</v>
      </c>
      <c r="G32" s="11"/>
      <c r="H32" s="11"/>
      <c r="J32" s="11" t="s">
        <v>327</v>
      </c>
    </row>
    <row r="33" ht="12.0" customHeight="1">
      <c r="A33" s="11"/>
      <c r="E33" s="91" t="s">
        <v>328</v>
      </c>
      <c r="F33" s="104">
        <f>VINMAX*'Design Calculator'!F57</f>
        <v>12000</v>
      </c>
      <c r="G33" s="104">
        <f>VINMAX*'Design Calculator'!G57</f>
        <v>12000</v>
      </c>
      <c r="H33" s="104">
        <f>VINMAX*'Design Calculator'!H57</f>
        <v>6000</v>
      </c>
      <c r="I33" s="11" t="s">
        <v>88</v>
      </c>
      <c r="J33" s="108">
        <f>F33*($F$38-TJDC1)/($F$38-25)</f>
        <v>6855.936</v>
      </c>
      <c r="K33" s="108">
        <f>G33*($G$38-TJDC2)/($G$38-25)</f>
        <v>6720.1536</v>
      </c>
      <c r="L33" s="108">
        <f>H33*($H$38-TJDC3)/($H$38-25)</f>
        <v>3254.4</v>
      </c>
    </row>
    <row r="34" ht="12.0" customHeight="1">
      <c r="A34" s="11"/>
      <c r="E34" s="91" t="s">
        <v>329</v>
      </c>
      <c r="F34" s="104">
        <f>VINMAX*'Design Calculator'!F58</f>
        <v>7200</v>
      </c>
      <c r="G34" s="104">
        <f>VINMAX*'Design Calculator'!G58</f>
        <v>3498.762493</v>
      </c>
      <c r="H34" s="104">
        <f>VINMAX*'Design Calculator'!H58</f>
        <v>6000</v>
      </c>
      <c r="I34" s="11" t="s">
        <v>88</v>
      </c>
      <c r="J34" s="11">
        <f>F34*($F$38-TJDC1)/($F$38-25)</f>
        <v>4113.5616</v>
      </c>
      <c r="K34" s="11">
        <f>G34*($G$38-TJDC2)/($G$38-25)</f>
        <v>1959.35178</v>
      </c>
      <c r="L34" s="11">
        <f>H34*($H$38-TJDC3)/($H$38-25)</f>
        <v>3254.4</v>
      </c>
    </row>
    <row r="35" ht="12.0" customHeight="1">
      <c r="A35" s="11"/>
      <c r="E35" s="91" t="s">
        <v>330</v>
      </c>
      <c r="F35" s="104">
        <f>VINMAX*'Design Calculator'!F59</f>
        <v>1036.394168</v>
      </c>
      <c r="G35" s="104">
        <f>VINMAX*'Design Calculator'!G59</f>
        <v>403.6510842</v>
      </c>
      <c r="H35" s="104">
        <f>VINMAX*'Design Calculator'!H59</f>
        <v>450</v>
      </c>
      <c r="I35" s="11" t="s">
        <v>88</v>
      </c>
      <c r="J35" s="11">
        <f>F35*($F$38-TJDC1)/($F$38-25)</f>
        <v>592.1210072</v>
      </c>
      <c r="K35" s="11">
        <f>G35*($G$38-TJDC2)/($G$38-25)</f>
        <v>226.0497739</v>
      </c>
      <c r="L35" s="11">
        <f>H35*($H$38-TJDC3)/($H$38-25)</f>
        <v>244.08</v>
      </c>
    </row>
    <row r="36" ht="12.0" customHeight="1">
      <c r="A36" s="11"/>
      <c r="E36" s="91" t="s">
        <v>331</v>
      </c>
      <c r="F36" s="104">
        <f>VINMAX*'Design Calculator'!F60</f>
        <v>290.6366655</v>
      </c>
      <c r="G36" s="104">
        <f>VINMAX*'Design Calculator'!G60</f>
        <v>145.3076296</v>
      </c>
      <c r="H36" s="104">
        <f>VINMAX*'Design Calculator'!H60</f>
        <v>90</v>
      </c>
      <c r="I36" s="11" t="s">
        <v>88</v>
      </c>
      <c r="J36" s="11">
        <f>F36*($F$38-TJDC1)/($F$38-25)</f>
        <v>166.0488648</v>
      </c>
      <c r="K36" s="11">
        <f>G36*($G$38-TJDC2)/($G$38-25)</f>
        <v>81.3741325</v>
      </c>
      <c r="L36" s="11">
        <f>H36*($H$38-TJDC3)/($H$38-25)</f>
        <v>48.816</v>
      </c>
    </row>
    <row r="37" ht="12.0" customHeight="1">
      <c r="A37" s="11"/>
      <c r="B37" s="11"/>
      <c r="C37" s="11"/>
      <c r="D37" s="11"/>
      <c r="E37" s="91" t="s">
        <v>332</v>
      </c>
      <c r="F37" s="104">
        <f>VINMAX*'Design Calculator'!F61</f>
        <v>149.2626395</v>
      </c>
      <c r="G37" s="104">
        <f>VINMAX*'Design Calculator'!G61</f>
        <v>71.33182217</v>
      </c>
      <c r="H37" s="104">
        <f>VINMAX*'Design Calculator'!H61</f>
        <v>19.5</v>
      </c>
      <c r="I37" s="11" t="s">
        <v>88</v>
      </c>
      <c r="J37" s="11">
        <f>F37*($F$38-TJDC1)/($F$38-25)</f>
        <v>85.27792528</v>
      </c>
      <c r="K37" s="11">
        <f>G37*($G$38-TJDC2)/($G$38-25)</f>
        <v>39.94673346</v>
      </c>
      <c r="L37" s="11">
        <f>H37*($H$38-TJDC3)/($H$38-25)</f>
        <v>10.5768</v>
      </c>
      <c r="M37" s="11"/>
      <c r="N37" s="11"/>
      <c r="O37" s="11"/>
      <c r="P37" s="11"/>
      <c r="Q37" s="11"/>
      <c r="R37" s="11"/>
      <c r="S37" s="11"/>
      <c r="T37" s="11"/>
      <c r="U37" s="11"/>
      <c r="V37" s="11"/>
      <c r="W37" s="11"/>
      <c r="X37" s="11"/>
      <c r="Y37" s="11"/>
      <c r="Z37" s="11"/>
    </row>
    <row r="38" ht="12.0" customHeight="1">
      <c r="A38" s="11"/>
      <c r="E38" s="235" t="s">
        <v>333</v>
      </c>
      <c r="F38" s="104">
        <f>'Design Calculator'!F56</f>
        <v>175</v>
      </c>
      <c r="G38" s="259">
        <f>'Design Calculator'!G56</f>
        <v>175</v>
      </c>
      <c r="H38" s="259">
        <f>'Design Calculator'!H56</f>
        <v>175</v>
      </c>
    </row>
    <row r="39" ht="12.0" customHeight="1">
      <c r="A39" s="11"/>
      <c r="B39" s="11"/>
      <c r="C39" s="11"/>
      <c r="D39" s="11"/>
      <c r="E39" s="235"/>
      <c r="F39" s="260"/>
      <c r="G39" s="11"/>
      <c r="H39" s="11"/>
      <c r="I39" s="11"/>
      <c r="J39" s="11"/>
      <c r="K39" s="11"/>
      <c r="L39" s="11"/>
      <c r="M39" s="11"/>
      <c r="N39" s="11"/>
      <c r="O39" s="11"/>
      <c r="P39" s="11"/>
      <c r="Q39" s="11"/>
      <c r="R39" s="11"/>
      <c r="S39" s="11"/>
      <c r="T39" s="11"/>
      <c r="U39" s="11"/>
      <c r="V39" s="11"/>
      <c r="W39" s="11"/>
      <c r="X39" s="11"/>
      <c r="Y39" s="11"/>
      <c r="Z39" s="11"/>
    </row>
    <row r="40" ht="12.0" customHeight="1">
      <c r="A40" s="11"/>
      <c r="E40" s="235" t="s">
        <v>334</v>
      </c>
      <c r="F40" s="260">
        <f>VINMAX*'Device Parameters'!E13/RsEFF/0.001</f>
        <v>60</v>
      </c>
      <c r="G40" s="11" t="s">
        <v>88</v>
      </c>
    </row>
    <row r="41" ht="12.0" customHeight="1">
      <c r="A41" s="11"/>
      <c r="D41" s="11"/>
      <c r="E41" s="235" t="s">
        <v>335</v>
      </c>
      <c r="F41" s="261">
        <f>'Design Calculator'!F49</f>
        <v>75</v>
      </c>
      <c r="G41" s="11" t="s">
        <v>88</v>
      </c>
      <c r="H41" s="11"/>
    </row>
    <row r="42" ht="12.0" customHeight="1">
      <c r="A42" s="11"/>
      <c r="D42" s="11"/>
      <c r="E42" s="235" t="s">
        <v>280</v>
      </c>
      <c r="F42" s="262">
        <f>'Device Parameters'!E14*RsEFF*0.001*F41/1000</f>
        <v>23.4375</v>
      </c>
      <c r="G42" s="11" t="s">
        <v>336</v>
      </c>
      <c r="H42" s="11"/>
    </row>
    <row r="43" ht="12.0" customHeight="1">
      <c r="A43" s="11"/>
      <c r="D43" s="11"/>
      <c r="E43" s="235" t="s">
        <v>337</v>
      </c>
      <c r="F43" s="260">
        <f>RPWR</f>
        <v>22</v>
      </c>
      <c r="G43" s="11" t="s">
        <v>336</v>
      </c>
      <c r="H43" s="11"/>
    </row>
    <row r="44" ht="12.0" customHeight="1">
      <c r="A44" s="11"/>
      <c r="D44" s="11"/>
      <c r="E44" s="235" t="s">
        <v>338</v>
      </c>
      <c r="F44" s="261">
        <f>(1/RsEFF)*1000*(Equations!F43*1000/'Device Parameters'!E14)</f>
        <v>70.4</v>
      </c>
      <c r="G44" s="11" t="s">
        <v>88</v>
      </c>
      <c r="H44" s="11"/>
    </row>
    <row r="45" ht="12.0" customHeight="1">
      <c r="A45" s="11"/>
      <c r="D45" s="11"/>
      <c r="E45" s="235"/>
      <c r="F45" s="11"/>
      <c r="G45" s="11"/>
      <c r="H45" s="11"/>
    </row>
    <row r="46" ht="12.0" customHeight="1">
      <c r="A46" s="11"/>
      <c r="D46" s="11"/>
      <c r="E46" s="235"/>
      <c r="F46" s="11"/>
      <c r="G46" s="11"/>
      <c r="H46" s="11"/>
    </row>
    <row r="47" ht="12.0" customHeight="1">
      <c r="A47" s="11"/>
      <c r="D47" s="11"/>
      <c r="E47" s="235"/>
      <c r="F47" s="11"/>
      <c r="G47" s="11"/>
      <c r="H47" s="11"/>
    </row>
    <row r="48" ht="12.0" customHeight="1">
      <c r="D48" s="11"/>
      <c r="E48" s="235" t="s">
        <v>339</v>
      </c>
      <c r="F48" s="143">
        <f>F49*(1-0.24)</f>
        <v>53.504</v>
      </c>
      <c r="G48" s="11" t="s">
        <v>340</v>
      </c>
      <c r="H48" s="11"/>
    </row>
    <row r="49" ht="12.0" customHeight="1">
      <c r="D49" s="11"/>
      <c r="E49" s="235" t="s">
        <v>341</v>
      </c>
      <c r="F49" s="143">
        <f>F44</f>
        <v>70.4</v>
      </c>
      <c r="G49" s="11"/>
      <c r="H49" s="11"/>
    </row>
    <row r="50" ht="12.0" customHeight="1">
      <c r="D50" s="11"/>
      <c r="E50" s="235" t="s">
        <v>342</v>
      </c>
      <c r="F50" s="143">
        <f>F49*(1+0.24)</f>
        <v>87.296</v>
      </c>
      <c r="G50" s="11"/>
      <c r="H50" s="11"/>
    </row>
    <row r="51" ht="12.0" customHeight="1">
      <c r="D51" s="11"/>
      <c r="E51" s="235"/>
      <c r="F51" s="252"/>
      <c r="G51" s="11"/>
      <c r="H51" s="235"/>
      <c r="I51" s="252"/>
      <c r="K51" s="235"/>
      <c r="L51" s="252"/>
    </row>
    <row r="52" ht="12.0" customHeight="1">
      <c r="D52" s="11"/>
      <c r="E52" s="235"/>
      <c r="F52" s="252"/>
      <c r="G52" s="11"/>
      <c r="H52" s="235"/>
      <c r="I52" s="252"/>
      <c r="K52" s="235"/>
      <c r="L52" s="252"/>
    </row>
    <row r="53" ht="12.0" customHeight="1">
      <c r="A53" s="135" t="s">
        <v>343</v>
      </c>
      <c r="D53" s="11"/>
      <c r="E53" s="11"/>
      <c r="F53" s="11"/>
      <c r="G53" s="11"/>
      <c r="H53" s="11"/>
    </row>
    <row r="54" ht="12.0" customHeight="1">
      <c r="A54" s="135"/>
      <c r="D54" s="263" t="s">
        <v>344</v>
      </c>
      <c r="H54" s="11"/>
    </row>
    <row r="55" ht="12.0" customHeight="1">
      <c r="A55" s="135"/>
      <c r="B55" s="11"/>
      <c r="C55" s="11"/>
      <c r="D55" s="263"/>
      <c r="E55" s="264"/>
      <c r="F55" s="264" t="s">
        <v>345</v>
      </c>
      <c r="G55" s="264" t="s">
        <v>346</v>
      </c>
      <c r="H55" s="264" t="s">
        <v>347</v>
      </c>
      <c r="I55" s="11"/>
      <c r="J55" s="11"/>
      <c r="K55" s="11"/>
      <c r="L55" s="11"/>
      <c r="M55" s="11"/>
      <c r="N55" s="11"/>
      <c r="O55" s="11"/>
      <c r="P55" s="11"/>
      <c r="Q55" s="11"/>
      <c r="R55" s="11"/>
      <c r="S55" s="11"/>
      <c r="T55" s="11"/>
      <c r="U55" s="11"/>
      <c r="V55" s="11"/>
      <c r="W55" s="11"/>
      <c r="X55" s="11"/>
      <c r="Y55" s="11"/>
      <c r="Z55" s="11"/>
    </row>
    <row r="56" ht="12.0" customHeight="1">
      <c r="A56" s="135"/>
      <c r="D56" s="11"/>
      <c r="E56" s="235" t="s">
        <v>348</v>
      </c>
      <c r="F56" s="143">
        <f>Start_up!M2</f>
        <v>281.25</v>
      </c>
      <c r="G56" s="143">
        <f>Start_up!M121</f>
        <v>281.25</v>
      </c>
      <c r="H56" s="143">
        <f>Start_up!M240</f>
        <v>281.25</v>
      </c>
      <c r="I56" s="11" t="s">
        <v>77</v>
      </c>
      <c r="J56" s="11"/>
    </row>
    <row r="57" ht="12.0" customHeight="1">
      <c r="A57" s="135"/>
      <c r="D57" s="11"/>
      <c r="E57" s="235" t="s">
        <v>349</v>
      </c>
      <c r="F57" s="143">
        <f>'Device Parameters'!D27</f>
        <v>0.5</v>
      </c>
      <c r="G57" s="143">
        <f>'Device Parameters'!D27</f>
        <v>0.5</v>
      </c>
      <c r="H57" s="143">
        <f>'Device Parameters'!D27</f>
        <v>0.5</v>
      </c>
      <c r="I57" s="11"/>
      <c r="J57" s="11"/>
    </row>
    <row r="58" ht="12.0" customHeight="1">
      <c r="A58" s="135"/>
      <c r="D58" s="11"/>
      <c r="E58" s="235" t="s">
        <v>350</v>
      </c>
      <c r="F58" s="11">
        <f t="shared" ref="F58:H58" si="1">F56*(1+F57)</f>
        <v>421.875</v>
      </c>
      <c r="G58" s="11">
        <f t="shared" si="1"/>
        <v>421.875</v>
      </c>
      <c r="H58" s="11">
        <f t="shared" si="1"/>
        <v>421.875</v>
      </c>
      <c r="I58" s="11" t="s">
        <v>77</v>
      </c>
      <c r="J58" s="11"/>
    </row>
    <row r="59" ht="12.0" customHeight="1">
      <c r="A59" s="135"/>
      <c r="D59" s="11"/>
      <c r="E59" s="235" t="s">
        <v>159</v>
      </c>
      <c r="F59" s="11">
        <f>'Device Parameters'!D25/'Device Parameters'!D22*F58</f>
        <v>8964.84375</v>
      </c>
      <c r="G59" s="11">
        <f>'Device Parameters'!D25/'Device Parameters'!D22*G58</f>
        <v>8964.84375</v>
      </c>
      <c r="H59" s="11">
        <f>'Device Parameters'!D25/'Device Parameters'!D22*H58</f>
        <v>8964.84375</v>
      </c>
      <c r="I59" s="11" t="s">
        <v>160</v>
      </c>
      <c r="J59" s="11"/>
    </row>
    <row r="60" ht="12.0" customHeight="1">
      <c r="A60" s="135"/>
      <c r="D60" s="11"/>
      <c r="E60" s="235" t="s">
        <v>351</v>
      </c>
      <c r="F60" s="143">
        <f>'Design Calculator'!F83</f>
        <v>600</v>
      </c>
      <c r="G60" s="143">
        <f>'Design Calculator'!F83</f>
        <v>600</v>
      </c>
      <c r="H60" s="143">
        <f>'Design Calculator'!F83</f>
        <v>600</v>
      </c>
      <c r="I60" s="11" t="s">
        <v>160</v>
      </c>
      <c r="J60" s="11"/>
    </row>
    <row r="61" ht="12.0" customHeight="1">
      <c r="A61" s="135"/>
      <c r="D61" s="11"/>
      <c r="E61" s="235" t="s">
        <v>352</v>
      </c>
      <c r="F61" s="11">
        <f>'Device Parameters'!D22/'Device Parameters'!D25*F60</f>
        <v>28.23529412</v>
      </c>
      <c r="G61" s="11">
        <f>'Device Parameters'!D22/'Device Parameters'!D25*G60</f>
        <v>28.23529412</v>
      </c>
      <c r="H61" s="11">
        <f>'Device Parameters'!D22/'Device Parameters'!D25*H60</f>
        <v>28.23529412</v>
      </c>
      <c r="I61" s="11" t="s">
        <v>77</v>
      </c>
      <c r="J61" s="11"/>
    </row>
    <row r="62" ht="12.0" customHeight="1">
      <c r="A62" s="135"/>
      <c r="D62" s="11"/>
      <c r="E62" s="235" t="s">
        <v>353</v>
      </c>
      <c r="F62" s="11">
        <f>SOA!C29/F49</f>
        <v>8.251254688</v>
      </c>
      <c r="G62" s="11">
        <f>SOA!C77/F49</f>
        <v>3.16189444</v>
      </c>
      <c r="H62" s="11">
        <f>SOA!C125/F49</f>
        <v>3.384000578</v>
      </c>
      <c r="I62" s="11"/>
      <c r="J62" s="11"/>
    </row>
    <row r="63" ht="12.0" customHeight="1">
      <c r="A63" s="135"/>
      <c r="D63" s="263" t="s">
        <v>354</v>
      </c>
      <c r="H63" s="11"/>
    </row>
    <row r="64" ht="12.0" customHeight="1">
      <c r="A64" s="135"/>
      <c r="B64" s="11"/>
      <c r="C64" s="11"/>
      <c r="D64" s="263"/>
      <c r="E64" s="264"/>
      <c r="F64" s="264" t="s">
        <v>345</v>
      </c>
      <c r="G64" s="264" t="s">
        <v>346</v>
      </c>
      <c r="H64" s="264" t="s">
        <v>347</v>
      </c>
      <c r="I64" s="11"/>
      <c r="J64" s="11"/>
      <c r="K64" s="11"/>
      <c r="L64" s="11"/>
      <c r="M64" s="11"/>
      <c r="N64" s="11"/>
      <c r="O64" s="11"/>
      <c r="P64" s="11"/>
      <c r="Q64" s="11"/>
      <c r="R64" s="11"/>
      <c r="S64" s="11"/>
      <c r="T64" s="11"/>
      <c r="U64" s="11"/>
      <c r="V64" s="11"/>
      <c r="W64" s="11"/>
      <c r="X64" s="11"/>
      <c r="Y64" s="11"/>
      <c r="Z64" s="11"/>
    </row>
    <row r="65" ht="12.0" customHeight="1">
      <c r="A65" s="135"/>
      <c r="C65" s="11"/>
      <c r="D65" s="265"/>
      <c r="E65" s="235" t="s">
        <v>355</v>
      </c>
      <c r="F65" s="252">
        <f>'Design Calculator'!F89</f>
        <v>0.12</v>
      </c>
      <c r="G65" s="252">
        <f>'Design Calculator'!F89</f>
        <v>0.12</v>
      </c>
      <c r="H65" s="252">
        <f>'Design Calculator'!F89</f>
        <v>0.12</v>
      </c>
      <c r="I65" s="254" t="s">
        <v>166</v>
      </c>
      <c r="J65" s="11"/>
    </row>
    <row r="66" ht="12.0" customHeight="1">
      <c r="A66" s="135"/>
      <c r="C66" s="11"/>
      <c r="D66" s="265"/>
      <c r="E66" s="235" t="s">
        <v>170</v>
      </c>
      <c r="F66" s="252">
        <f>'Device Parameters'!D30/ss_rate</f>
        <v>133.3333333</v>
      </c>
      <c r="G66" s="252">
        <f>'Device Parameters'!D30/G65</f>
        <v>133.3333333</v>
      </c>
      <c r="H66" s="252">
        <f>'Device Parameters'!D30/H65</f>
        <v>133.3333333</v>
      </c>
      <c r="I66" s="254" t="s">
        <v>160</v>
      </c>
      <c r="J66" s="11"/>
    </row>
    <row r="67" ht="12.0" customHeight="1">
      <c r="A67" s="135"/>
      <c r="C67" s="11"/>
      <c r="D67" s="265"/>
      <c r="E67" s="235" t="s">
        <v>171</v>
      </c>
      <c r="F67" s="252">
        <f>'Design Calculator'!F91</f>
        <v>150</v>
      </c>
      <c r="G67" s="252">
        <f>'Design Calculator'!F91</f>
        <v>150</v>
      </c>
      <c r="H67" s="252">
        <f>'Design Calculator'!F91</f>
        <v>150</v>
      </c>
      <c r="I67" s="254" t="s">
        <v>160</v>
      </c>
      <c r="J67" s="11"/>
    </row>
    <row r="68" ht="12.0" customHeight="1">
      <c r="A68" s="135"/>
      <c r="C68" s="11"/>
      <c r="D68" s="265"/>
      <c r="E68" s="235" t="s">
        <v>356</v>
      </c>
      <c r="F68" s="252">
        <f>ss_rate*F66/F67</f>
        <v>0.1066666667</v>
      </c>
      <c r="G68" s="252">
        <f t="shared" ref="G68:H68" si="2">G65*G66/G67</f>
        <v>0.1066666667</v>
      </c>
      <c r="H68" s="252">
        <f t="shared" si="2"/>
        <v>0.1066666667</v>
      </c>
      <c r="I68" s="254" t="s">
        <v>166</v>
      </c>
      <c r="J68" s="11"/>
    </row>
    <row r="69" ht="12.0" customHeight="1">
      <c r="A69" s="135"/>
      <c r="C69" s="11"/>
      <c r="D69" s="265"/>
      <c r="E69" s="235" t="s">
        <v>357</v>
      </c>
      <c r="F69" s="252">
        <f>COUTMAX*F68/1000</f>
        <v>0.32</v>
      </c>
      <c r="G69" s="252">
        <f>COUTMAX*G68/1000</f>
        <v>0.32</v>
      </c>
      <c r="H69" s="252">
        <f>COUTMAX*H68/1000</f>
        <v>0.32</v>
      </c>
      <c r="I69" s="254" t="s">
        <v>58</v>
      </c>
      <c r="J69" s="11"/>
    </row>
    <row r="70" ht="12.0" customHeight="1">
      <c r="A70" s="135"/>
      <c r="C70" s="11"/>
      <c r="D70" s="265"/>
      <c r="E70" s="235" t="s">
        <v>358</v>
      </c>
      <c r="F70" s="252">
        <f>VINMAX/F68</f>
        <v>281.25</v>
      </c>
      <c r="G70" s="252">
        <f>VINMAX/G68</f>
        <v>281.25</v>
      </c>
      <c r="H70" s="252">
        <f>VINMAX/H68</f>
        <v>281.25</v>
      </c>
      <c r="I70" s="254" t="s">
        <v>77</v>
      </c>
      <c r="J70" s="11"/>
    </row>
    <row r="71" ht="12.0" customHeight="1">
      <c r="A71" s="135"/>
      <c r="C71" s="11"/>
      <c r="D71" s="265"/>
      <c r="E71" s="235" t="s">
        <v>359</v>
      </c>
      <c r="F71" s="266">
        <f>Start_up!N5</f>
        <v>2.17265625</v>
      </c>
      <c r="G71" s="266">
        <f>Start_up!N124</f>
        <v>2.17265625</v>
      </c>
      <c r="H71" s="266">
        <f>Start_up!N243</f>
        <v>2.17265625</v>
      </c>
      <c r="I71" s="254" t="s">
        <v>360</v>
      </c>
      <c r="J71" s="11"/>
    </row>
    <row r="72" ht="12.0" customHeight="1">
      <c r="A72" s="135"/>
      <c r="C72" s="11"/>
      <c r="D72" s="265"/>
      <c r="E72" s="235" t="s">
        <v>361</v>
      </c>
      <c r="F72" s="252">
        <f>Start_up!Q4</f>
        <v>15.6</v>
      </c>
      <c r="G72" s="252">
        <f>Start_up!Q123</f>
        <v>15.6</v>
      </c>
      <c r="H72" s="252">
        <f>Start_up!Q242</f>
        <v>15.6</v>
      </c>
      <c r="I72" s="254" t="s">
        <v>88</v>
      </c>
      <c r="J72" s="11"/>
    </row>
    <row r="73" ht="12.0" customHeight="1">
      <c r="A73" s="135"/>
      <c r="D73" s="263"/>
      <c r="E73" s="235" t="s">
        <v>362</v>
      </c>
      <c r="F73" s="266">
        <f t="shared" ref="F73:H73" si="3">F71/F72*1000</f>
        <v>139.2728365</v>
      </c>
      <c r="G73" s="266">
        <f t="shared" si="3"/>
        <v>139.2728365</v>
      </c>
      <c r="H73" s="266">
        <f t="shared" si="3"/>
        <v>139.2728365</v>
      </c>
      <c r="I73" s="254" t="s">
        <v>77</v>
      </c>
      <c r="J73" s="11"/>
    </row>
    <row r="74" ht="12.0" customHeight="1">
      <c r="A74" s="135"/>
      <c r="D74" s="11"/>
      <c r="E74" s="235" t="s">
        <v>363</v>
      </c>
      <c r="F74" s="11">
        <f>SOA!H31</f>
        <v>156.4171691</v>
      </c>
      <c r="G74" s="11">
        <f>SOA!H79</f>
        <v>74.93067075</v>
      </c>
      <c r="H74" s="11">
        <f>SOA!H127</f>
        <v>26.67732608</v>
      </c>
      <c r="I74" s="254" t="s">
        <v>88</v>
      </c>
      <c r="J74" s="11"/>
    </row>
    <row r="75" ht="12.0" customHeight="1">
      <c r="A75" s="135"/>
      <c r="D75" s="11"/>
      <c r="E75" s="235" t="s">
        <v>120</v>
      </c>
      <c r="F75" s="11">
        <f t="shared" ref="F75:H75" si="4">F74/F72</f>
        <v>10.02674161</v>
      </c>
      <c r="G75" s="11">
        <f t="shared" si="4"/>
        <v>4.803248125</v>
      </c>
      <c r="H75" s="11">
        <f t="shared" si="4"/>
        <v>1.710085005</v>
      </c>
      <c r="I75" s="11"/>
      <c r="J75" s="11"/>
    </row>
    <row r="76" ht="12.0" customHeight="1">
      <c r="A76" s="135"/>
      <c r="D76" s="11"/>
      <c r="E76" s="235"/>
      <c r="F76" s="11"/>
      <c r="G76" s="11"/>
      <c r="H76" s="11"/>
    </row>
    <row r="77" ht="12.0" customHeight="1">
      <c r="A77" s="135"/>
      <c r="D77" s="11"/>
      <c r="E77" s="235"/>
      <c r="F77" s="11">
        <v>1.0</v>
      </c>
      <c r="G77" s="252" t="s">
        <v>77</v>
      </c>
      <c r="H77" s="11"/>
    </row>
    <row r="78" ht="12.0" customHeight="1">
      <c r="A78" s="135"/>
      <c r="D78" s="265" t="s">
        <v>364</v>
      </c>
    </row>
    <row r="79" ht="12.0" customHeight="1">
      <c r="A79" s="135"/>
      <c r="D79" s="11"/>
      <c r="E79" s="235" t="s">
        <v>174</v>
      </c>
      <c r="F79" s="143">
        <f>'Design Calculator'!F94</f>
        <v>1</v>
      </c>
      <c r="G79" s="143">
        <f>'Design Calculator'!F94</f>
        <v>1</v>
      </c>
      <c r="H79" s="143">
        <f>'Design Calculator'!F94</f>
        <v>1</v>
      </c>
      <c r="I79" s="11"/>
      <c r="J79" s="11"/>
    </row>
    <row r="80" ht="12.0" customHeight="1">
      <c r="A80" s="135"/>
      <c r="D80" s="11"/>
      <c r="E80" s="235" t="s">
        <v>175</v>
      </c>
      <c r="F80" s="11">
        <f>'Device Parameters'!D25/'Device Parameters'!D22*F79</f>
        <v>21.25</v>
      </c>
      <c r="G80" s="11">
        <f>'Device Parameters'!D25/'Device Parameters'!D22*G79</f>
        <v>21.25</v>
      </c>
      <c r="H80" s="11">
        <f>'Device Parameters'!D25/'Device Parameters'!D22*H79</f>
        <v>21.25</v>
      </c>
      <c r="I80" s="11" t="s">
        <v>160</v>
      </c>
      <c r="J80" s="11"/>
    </row>
    <row r="81" ht="12.0" customHeight="1">
      <c r="A81" s="135"/>
      <c r="D81" s="11"/>
      <c r="E81" s="235" t="s">
        <v>365</v>
      </c>
      <c r="F81" s="143">
        <f>'Design Calculator'!F96</f>
        <v>22</v>
      </c>
      <c r="G81" s="143">
        <f>'Design Calculator'!F96</f>
        <v>22</v>
      </c>
      <c r="H81" s="143">
        <f>'Design Calculator'!F96</f>
        <v>22</v>
      </c>
      <c r="I81" s="11" t="s">
        <v>160</v>
      </c>
      <c r="J81" s="11"/>
    </row>
    <row r="82" ht="12.0" customHeight="1">
      <c r="A82" s="135"/>
      <c r="D82" s="11"/>
      <c r="E82" s="235" t="s">
        <v>177</v>
      </c>
      <c r="F82" s="11">
        <f>'Device Parameters'!D22/'Device Parameters'!D25*F81</f>
        <v>1.035294118</v>
      </c>
      <c r="G82" s="11">
        <f>'Device Parameters'!D22/'Device Parameters'!D25*G81</f>
        <v>1.035294118</v>
      </c>
      <c r="H82" s="11">
        <f>'Device Parameters'!D22/'Device Parameters'!D25*H81</f>
        <v>1.035294118</v>
      </c>
      <c r="I82" s="11" t="s">
        <v>77</v>
      </c>
      <c r="J82" s="11"/>
    </row>
    <row r="83" ht="12.0" customHeight="1">
      <c r="A83" s="135"/>
      <c r="D83" s="11"/>
      <c r="E83" s="235" t="s">
        <v>366</v>
      </c>
      <c r="F83" s="11">
        <f>SOA!C29</f>
        <v>580.88833</v>
      </c>
      <c r="G83" s="11">
        <f>SOA!C73</f>
        <v>397.4862156</v>
      </c>
      <c r="H83" s="11">
        <f>SOA!C121</f>
        <v>439.221314</v>
      </c>
      <c r="I83" s="11" t="s">
        <v>88</v>
      </c>
      <c r="J83" s="11"/>
    </row>
    <row r="84" ht="12.0" customHeight="1">
      <c r="A84" s="135"/>
      <c r="D84" s="11"/>
      <c r="E84" s="235" t="s">
        <v>120</v>
      </c>
      <c r="F84" s="11">
        <f>F83/F44</f>
        <v>8.251254688</v>
      </c>
      <c r="G84" s="11">
        <f>G83/F44</f>
        <v>5.646111017</v>
      </c>
      <c r="H84" s="11">
        <f>H83/F44</f>
        <v>6.238939119</v>
      </c>
      <c r="I84" s="11"/>
      <c r="J84" s="11"/>
    </row>
    <row r="85" ht="12.0" customHeight="1">
      <c r="A85" s="135"/>
      <c r="D85" s="11"/>
      <c r="E85" s="235"/>
      <c r="F85" s="11"/>
      <c r="G85" s="11"/>
      <c r="H85" s="11"/>
    </row>
    <row r="86" ht="12.0" customHeight="1">
      <c r="A86" s="135"/>
      <c r="D86" s="11"/>
      <c r="E86" s="235"/>
      <c r="F86" s="11"/>
      <c r="G86" s="11"/>
      <c r="H86" s="11"/>
    </row>
    <row r="87" ht="12.0" customHeight="1">
      <c r="A87" s="135"/>
      <c r="D87" s="11"/>
      <c r="E87" s="235"/>
      <c r="F87" s="11"/>
      <c r="G87" s="11"/>
      <c r="H87" s="11"/>
    </row>
    <row r="88" ht="12.0" customHeight="1">
      <c r="A88" s="135"/>
      <c r="D88" s="11"/>
      <c r="E88" s="235"/>
      <c r="F88" s="11"/>
      <c r="G88" s="11"/>
      <c r="H88" s="11"/>
    </row>
    <row r="89" ht="12.0" customHeight="1">
      <c r="A89" s="135"/>
      <c r="D89" s="11"/>
      <c r="E89" s="235"/>
      <c r="F89" s="11"/>
      <c r="G89" s="11"/>
      <c r="H89" s="11"/>
    </row>
    <row r="90" ht="12.0" customHeight="1">
      <c r="A90" s="135"/>
      <c r="D90" s="11"/>
      <c r="E90" s="235"/>
      <c r="F90" s="11"/>
      <c r="G90" s="11"/>
      <c r="H90" s="11"/>
    </row>
    <row r="91" ht="12.0" customHeight="1">
      <c r="A91" s="135"/>
      <c r="D91" s="11"/>
      <c r="E91" s="235"/>
      <c r="F91" s="11"/>
      <c r="G91" s="11"/>
      <c r="H91" s="11"/>
    </row>
    <row r="92" ht="12.0" customHeight="1">
      <c r="A92" s="135"/>
      <c r="D92" s="11"/>
      <c r="E92" s="235"/>
      <c r="F92" s="11"/>
      <c r="G92" s="11"/>
      <c r="H92" s="11"/>
    </row>
    <row r="93" ht="12.0" customHeight="1">
      <c r="A93" s="135"/>
      <c r="D93" s="11"/>
      <c r="E93" s="11"/>
      <c r="F93" s="11"/>
      <c r="G93" s="11"/>
      <c r="H93" s="11"/>
    </row>
    <row r="94" ht="12.0" customHeight="1">
      <c r="A94" s="11"/>
      <c r="D94" s="11"/>
      <c r="E94" s="235"/>
      <c r="F94" s="11"/>
      <c r="G94" s="11"/>
      <c r="H94" s="11"/>
    </row>
    <row r="95" ht="12.0" customHeight="1">
      <c r="A95" s="11"/>
      <c r="D95" s="11"/>
      <c r="E95" s="235"/>
      <c r="F95" s="11"/>
      <c r="G95" s="11"/>
      <c r="H95" s="11"/>
    </row>
    <row r="96" ht="12.0" customHeight="1">
      <c r="D96" s="11"/>
      <c r="E96" s="235"/>
      <c r="F96" s="11"/>
      <c r="G96" s="11"/>
      <c r="H96" s="11"/>
    </row>
    <row r="97" ht="12.0" customHeight="1">
      <c r="D97" s="11"/>
      <c r="E97" s="235"/>
      <c r="F97" s="11"/>
      <c r="G97" s="11"/>
      <c r="H97" s="11"/>
    </row>
    <row r="98" ht="12.0" customHeight="1">
      <c r="D98" s="11"/>
      <c r="E98" s="235"/>
      <c r="F98" s="11"/>
      <c r="G98" s="11"/>
      <c r="H98" s="11"/>
    </row>
    <row r="99" ht="12.0" customHeight="1">
      <c r="D99" s="11"/>
      <c r="E99" s="235"/>
      <c r="F99" s="11"/>
      <c r="G99" s="11"/>
      <c r="H99" s="11"/>
      <c r="J99" s="267"/>
      <c r="M99" s="267"/>
    </row>
    <row r="100" ht="12.0" customHeight="1">
      <c r="D100" s="11"/>
      <c r="E100" s="235"/>
      <c r="F100" s="11"/>
      <c r="G100" s="11"/>
      <c r="H100" s="11"/>
      <c r="J100" s="267"/>
      <c r="M100" s="267"/>
    </row>
    <row r="101" ht="12.0" customHeight="1">
      <c r="D101" s="11"/>
      <c r="E101" s="235"/>
      <c r="F101" s="11"/>
      <c r="G101" s="11" t="s">
        <v>367</v>
      </c>
      <c r="H101" s="11"/>
      <c r="J101" s="268"/>
      <c r="M101" s="268"/>
    </row>
    <row r="102" ht="12.0" customHeight="1">
      <c r="D102" s="11"/>
      <c r="E102" s="235"/>
      <c r="F102" s="11"/>
      <c r="G102" s="11"/>
      <c r="H102" s="11"/>
      <c r="J102" s="268"/>
      <c r="M102" s="268"/>
    </row>
    <row r="103" ht="12.0" customHeight="1">
      <c r="D103" s="11"/>
      <c r="E103" s="235"/>
      <c r="F103" s="11"/>
      <c r="G103" s="11"/>
      <c r="H103" s="11"/>
    </row>
    <row r="104" ht="12.0" customHeight="1">
      <c r="D104" s="11"/>
      <c r="E104" s="235"/>
      <c r="F104" s="11"/>
      <c r="G104" s="11"/>
      <c r="H104" s="11"/>
      <c r="I104" s="108" t="s">
        <v>368</v>
      </c>
      <c r="L104" s="108" t="s">
        <v>369</v>
      </c>
    </row>
    <row r="105" ht="12.0" customHeight="1">
      <c r="D105" s="11"/>
      <c r="E105" s="235"/>
      <c r="F105" s="11"/>
      <c r="G105" s="11" t="s">
        <v>58</v>
      </c>
      <c r="H105" s="11"/>
    </row>
    <row r="106" ht="12.0" customHeight="1">
      <c r="D106" s="11"/>
      <c r="E106" s="235"/>
      <c r="F106" s="11"/>
      <c r="G106" s="11" t="s">
        <v>370</v>
      </c>
      <c r="H106" s="11"/>
    </row>
    <row r="107" ht="12.0" customHeight="1">
      <c r="D107" s="11"/>
      <c r="E107" s="235"/>
      <c r="F107" s="11"/>
      <c r="G107" s="11" t="s">
        <v>160</v>
      </c>
      <c r="H107" s="11"/>
    </row>
    <row r="108" ht="12.0" customHeight="1">
      <c r="D108" s="11"/>
      <c r="E108" s="235"/>
      <c r="F108" s="11"/>
      <c r="G108" s="11"/>
      <c r="H108" s="11"/>
    </row>
    <row r="109" ht="12.0" customHeight="1">
      <c r="D109" s="11"/>
      <c r="E109" s="235"/>
      <c r="F109" s="11"/>
      <c r="G109" s="11"/>
      <c r="H109" s="11"/>
    </row>
    <row r="110" ht="12.0" customHeight="1">
      <c r="D110" s="11"/>
      <c r="E110" s="235" t="s">
        <v>371</v>
      </c>
      <c r="F110" s="143">
        <f>IF('Design Calculator'!F30="Soft Start", Equations!F81, Equations!F60)*'Device Parameters'!C39*1000/'Device Parameters'!E43*0.001</f>
        <v>10.34</v>
      </c>
      <c r="G110" s="143">
        <f>IF('Design Calculator'!F30="Soft Start", Equations!G81, Equations!G60)*'Device Parameters'!C39*1000/'Device Parameters'!E43*0.001</f>
        <v>10.34</v>
      </c>
      <c r="H110" s="143">
        <f>IF('Design Calculator'!F30="Soft Start", Equations!H81, Equations!H60)*'Device Parameters'!C39*1000/'Device Parameters'!E43*0.001</f>
        <v>10.34</v>
      </c>
      <c r="I110" s="11" t="s">
        <v>77</v>
      </c>
      <c r="J110" s="11"/>
    </row>
    <row r="111" ht="12.0" customHeight="1">
      <c r="D111" s="11"/>
      <c r="E111" s="235" t="s">
        <v>372</v>
      </c>
      <c r="F111" s="143">
        <f>IF('Design Calculator'!F30="Soft Start", Equations!F81, Equations!F60)*0.001*'Device Parameters'!D39*1000/'Device Parameters'!D43</f>
        <v>16</v>
      </c>
      <c r="G111" s="143">
        <f>IF('Design Calculator'!F30="Soft Start", Equations!G81, Equations!G60)*0.001*'Device Parameters'!D39*1000/'Device Parameters'!D43</f>
        <v>16</v>
      </c>
      <c r="H111" s="143">
        <f>IF('Design Calculator'!F30="Soft Start", Equations!H81, Equations!H60)*0.001*'Device Parameters'!D39*1000/'Device Parameters'!D43</f>
        <v>16</v>
      </c>
      <c r="I111" s="11" t="s">
        <v>77</v>
      </c>
      <c r="J111" s="11"/>
    </row>
    <row r="112" ht="12.0" customHeight="1">
      <c r="D112" s="11"/>
      <c r="E112" s="235" t="s">
        <v>373</v>
      </c>
      <c r="F112" s="143">
        <f>IF('Design Calculator'!F30="Soft Start", Equations!F81, Equations!F60)*0.001*'Device Parameters'!E39*1000/'Device Parameters'!C43</f>
        <v>30.50666667</v>
      </c>
      <c r="G112" s="143">
        <f>IF('Design Calculator'!F30="Soft Start", Equations!G81, Equations!G60)*0.001*'Device Parameters'!E39*1000/'Device Parameters'!C43</f>
        <v>30.50666667</v>
      </c>
      <c r="H112" s="143">
        <f>IF('Design Calculator'!F30="Soft Start", Equations!H81, Equations!H60)*0.001*'Device Parameters'!E39*1000/'Device Parameters'!C43</f>
        <v>30.50666667</v>
      </c>
      <c r="I112" s="11" t="s">
        <v>77</v>
      </c>
      <c r="J112" s="11"/>
    </row>
    <row r="113" ht="12.0" customHeight="1">
      <c r="D113" s="11"/>
      <c r="E113" s="235" t="s">
        <v>374</v>
      </c>
      <c r="F113" s="11">
        <f>IF('Design Calculator'!F30="Soft Start", Equations!F81, Equations!F60)*(J113+K113+L113)</f>
        <v>192.0851167</v>
      </c>
      <c r="G113" s="11">
        <f>IF('Design Calculator'!F30="Soft Start", Equations!G81, Equations!G60)*(J113+K113+L113)</f>
        <v>192.0851167</v>
      </c>
      <c r="H113" s="11">
        <f>IF('Design Calculator'!F30="Soft Start", Equations!H81, Equations!H60)*(J113+K113+L113)</f>
        <v>192.0851167</v>
      </c>
      <c r="I113" s="11" t="s">
        <v>77</v>
      </c>
      <c r="J113" s="11">
        <f>(('Device Parameters'!C39-'Device Parameters'!E40)/'Device Parameters'!E45)*7</f>
        <v>0.1427416667</v>
      </c>
      <c r="K113" s="108">
        <f>(('Device Parameters'!C39-'Device Parameters'!C40)/'Device Parameters'!D46)*8</f>
        <v>8.2336</v>
      </c>
      <c r="L113" s="108">
        <f>(('Device Parameters'!C40-'Device Parameters'!D41)/'Device Parameters'!D46)</f>
        <v>0.3548</v>
      </c>
    </row>
    <row r="114" ht="12.0" customHeight="1">
      <c r="D114" s="11"/>
      <c r="E114" s="235" t="s">
        <v>375</v>
      </c>
      <c r="F114" s="11">
        <f>IF('Design Calculator'!F30="Soft Start", Equations!F81, Equations!F60)*(J114+K114+L114)</f>
        <v>206.9423529</v>
      </c>
      <c r="G114" s="11">
        <f>IF('Design Calculator'!F30="Soft Start", Equations!G81, Equations!G60)*(J114+K114+L114)</f>
        <v>206.9423529</v>
      </c>
      <c r="H114" s="11">
        <f>IF('Design Calculator'!F30="Soft Start", Equations!H81, Equations!H60)*(J114+K114+L114)</f>
        <v>206.9423529</v>
      </c>
      <c r="I114" s="11" t="s">
        <v>77</v>
      </c>
      <c r="J114" s="11">
        <f>(('Device Parameters'!D39-'Device Parameters'!D40)/'Device Parameters'!D45)*7</f>
        <v>0.2264705882</v>
      </c>
      <c r="K114" s="108">
        <f>(('Device Parameters'!D39-'Device Parameters'!D40)/'Device Parameters'!D46)*8</f>
        <v>8.8</v>
      </c>
      <c r="L114" s="108">
        <f>(('Device Parameters'!D40-'Device Parameters'!D41)/'Device Parameters'!D46)</f>
        <v>0.38</v>
      </c>
    </row>
    <row r="115" ht="12.0" customHeight="1">
      <c r="D115" s="11"/>
      <c r="E115" s="235" t="s">
        <v>376</v>
      </c>
      <c r="F115" s="11">
        <f>IF('Design Calculator'!F30="Soft Start", Equations!F81, Equations!F60)*(J115+K115+L115)</f>
        <v>218.3204941</v>
      </c>
      <c r="G115" s="11">
        <f>IF('Design Calculator'!F30="Soft Start", Equations!G81, Equations!G60)*(J115+K115+L115)</f>
        <v>218.3204941</v>
      </c>
      <c r="H115" s="11">
        <f>IF('Design Calculator'!F30="Soft Start", Equations!H81, Equations!H60)*(J115+K115+L115)</f>
        <v>218.3204941</v>
      </c>
      <c r="I115" s="11" t="s">
        <v>77</v>
      </c>
      <c r="J115" s="11">
        <f>(('Device Parameters'!E39-'Device Parameters'!C40)/'Device Parameters'!C45)*7</f>
        <v>0.4080588235</v>
      </c>
      <c r="K115" s="108">
        <f>(('Device Parameters'!E39-'Device Parameters'!E40)/'Device Parameters'!D46)*8</f>
        <v>9.1104</v>
      </c>
      <c r="L115" s="108">
        <f>(('Device Parameters'!E40-'Device Parameters'!D41)/'Device Parameters'!D46)</f>
        <v>0.4052</v>
      </c>
    </row>
    <row r="116" ht="12.0" customHeight="1">
      <c r="D116" s="11"/>
      <c r="E116" s="235" t="s">
        <v>377</v>
      </c>
      <c r="F116" s="11" t="str">
        <f>(1+'Design Calculator'!#REF!/'Design Calculator'!#REF!)*'Device Parameters'!C51</f>
        <v>#ERROR!</v>
      </c>
      <c r="G116" s="11"/>
      <c r="H116" s="11"/>
    </row>
    <row r="117" ht="12.0" customHeight="1">
      <c r="D117" s="11"/>
      <c r="E117" s="235" t="s">
        <v>378</v>
      </c>
      <c r="F117" s="11" t="str">
        <f>(1+'Design Calculator'!#REF!/'Design Calculator'!#REF!)*'Device Parameters'!D51</f>
        <v>#ERROR!</v>
      </c>
      <c r="G117" s="11"/>
      <c r="H117" s="11"/>
    </row>
    <row r="118" ht="12.0" customHeight="1">
      <c r="D118" s="11"/>
      <c r="E118" s="235" t="s">
        <v>379</v>
      </c>
      <c r="F118" s="11" t="str">
        <f>(1+'Design Calculator'!#REF!/'Design Calculator'!#REF!)*'Device Parameters'!E51</f>
        <v>#ERROR!</v>
      </c>
      <c r="G118" s="11"/>
      <c r="H118" s="11"/>
    </row>
    <row r="119" ht="12.0" customHeight="1">
      <c r="D119" s="11"/>
      <c r="E119" s="235" t="s">
        <v>380</v>
      </c>
      <c r="F119" s="11" t="str">
        <f>('Design Calculator'!#REF!*'Device Parameters'!C52)</f>
        <v>#ERROR!</v>
      </c>
      <c r="G119" s="11"/>
      <c r="H119" s="11"/>
    </row>
    <row r="120" ht="12.0" customHeight="1">
      <c r="D120" s="11"/>
      <c r="E120" s="235" t="s">
        <v>381</v>
      </c>
      <c r="F120" s="11" t="str">
        <f>('Design Calculator'!#REF!*'Device Parameters'!$D$52)</f>
        <v>#ERROR!</v>
      </c>
      <c r="G120" s="11"/>
      <c r="H120" s="11"/>
    </row>
    <row r="121" ht="12.0" customHeight="1">
      <c r="D121" s="11"/>
      <c r="E121" s="235" t="s">
        <v>382</v>
      </c>
      <c r="F121" s="11" t="str">
        <f>('Design Calculator'!#REF!*'Device Parameters'!$E$52)</f>
        <v>#ERROR!</v>
      </c>
      <c r="G121" s="11"/>
      <c r="H121" s="11"/>
    </row>
    <row r="122" ht="12.0" customHeight="1">
      <c r="D122" s="11"/>
      <c r="E122" s="235"/>
      <c r="F122" s="11"/>
      <c r="G122" s="11"/>
      <c r="H122" s="11"/>
    </row>
    <row r="123" ht="12.0" customHeight="1">
      <c r="D123" s="11"/>
      <c r="E123" s="235"/>
      <c r="F123" s="11"/>
      <c r="G123" s="11"/>
      <c r="H123" s="11"/>
    </row>
    <row r="124" ht="12.0" customHeight="1">
      <c r="D124" s="135"/>
      <c r="E124" s="11"/>
      <c r="F124" s="11"/>
      <c r="G124" s="11"/>
      <c r="H124" s="11"/>
      <c r="I124" s="108" t="s">
        <v>383</v>
      </c>
      <c r="L124" s="108" t="s">
        <v>384</v>
      </c>
    </row>
    <row r="125" ht="12.0" customHeight="1">
      <c r="D125" s="135"/>
      <c r="E125" s="11"/>
      <c r="F125" s="11"/>
      <c r="G125" s="11"/>
      <c r="H125" s="11"/>
      <c r="I125" s="108" t="s">
        <v>385</v>
      </c>
      <c r="L125" s="108" t="s">
        <v>386</v>
      </c>
    </row>
    <row r="126" ht="12.0" customHeight="1">
      <c r="D126" s="135"/>
      <c r="E126" s="11"/>
      <c r="F126" s="11"/>
      <c r="G126" s="11"/>
      <c r="H126" s="11"/>
      <c r="I126" s="108" t="s">
        <v>387</v>
      </c>
      <c r="L126" s="108" t="s">
        <v>388</v>
      </c>
    </row>
    <row r="127" ht="12.0" customHeight="1">
      <c r="D127" s="11"/>
      <c r="E127" s="11"/>
      <c r="F127" s="11"/>
      <c r="G127" s="11"/>
      <c r="H127" s="11"/>
    </row>
    <row r="128" ht="12.0" customHeight="1">
      <c r="D128" s="11"/>
      <c r="E128" s="11"/>
      <c r="F128" s="11"/>
      <c r="G128" s="11"/>
      <c r="H128" s="11"/>
    </row>
    <row r="129" ht="12.0" customHeight="1">
      <c r="D129" s="11"/>
      <c r="E129" s="235" t="s">
        <v>179</v>
      </c>
      <c r="F129" s="11"/>
      <c r="G129" s="11"/>
      <c r="H129" s="11"/>
    </row>
    <row r="130" ht="12.0" customHeight="1">
      <c r="D130" s="11"/>
      <c r="E130" s="235" t="s">
        <v>181</v>
      </c>
      <c r="F130" s="11"/>
      <c r="G130" s="11"/>
      <c r="H130" s="11"/>
    </row>
    <row r="131" ht="12.0" customHeight="1">
      <c r="D131" s="11"/>
      <c r="E131" s="235"/>
      <c r="F131" s="252" t="s">
        <v>58</v>
      </c>
      <c r="G131" s="252" t="s">
        <v>389</v>
      </c>
      <c r="H131" s="252" t="s">
        <v>390</v>
      </c>
      <c r="I131" s="252" t="s">
        <v>391</v>
      </c>
    </row>
    <row r="132" ht="12.0" customHeight="1">
      <c r="D132" s="11"/>
      <c r="E132" s="235" t="s">
        <v>392</v>
      </c>
      <c r="F132" s="262">
        <f>('Design Calculator'!F102-'Design Calculator'!F103)*1000/21</f>
        <v>95.23809524</v>
      </c>
      <c r="G132" s="262">
        <f>('Design Calculator'!F102-'Design Calculator'!F103)*1000/21</f>
        <v>95.23809524</v>
      </c>
      <c r="H132" s="11"/>
    </row>
    <row r="133" ht="12.0" customHeight="1">
      <c r="D133" s="11"/>
      <c r="E133" s="235" t="s">
        <v>393</v>
      </c>
      <c r="F133" s="262">
        <f>2.5*F132/('Design Calculator'!F103-2.5)-F134</f>
        <v>21.16402116</v>
      </c>
      <c r="G133" s="262">
        <f>2.5*G132/('Design Calculator'!F103-2.5)</f>
        <v>31.74603175</v>
      </c>
      <c r="H133" s="11"/>
    </row>
    <row r="134" ht="12.0" customHeight="1">
      <c r="D134" s="11"/>
      <c r="E134" s="235" t="s">
        <v>394</v>
      </c>
      <c r="F134" s="262">
        <f>(F132*'Design Calculator'!F103*2.5)/('Design Calculator'!F104*('Design Calculator'!F103-2.5))</f>
        <v>10.58201058</v>
      </c>
      <c r="G134" s="262">
        <f>('Design Calculator'!F104-'Design Calculator'!F105)*1000/21</f>
        <v>-1571.428571</v>
      </c>
      <c r="H134" s="11"/>
    </row>
    <row r="135" ht="12.0" customHeight="1">
      <c r="D135" s="11"/>
      <c r="E135" s="235" t="s">
        <v>395</v>
      </c>
      <c r="F135" s="252"/>
      <c r="G135" s="262">
        <f>2.5*G134/('Design Calculator'!F104-2.5)</f>
        <v>-142.8571429</v>
      </c>
      <c r="H135" s="11"/>
    </row>
    <row r="136" ht="12.0" customHeight="1">
      <c r="B136" s="269"/>
      <c r="C136" s="270"/>
      <c r="D136" s="270"/>
      <c r="E136" s="271" t="s">
        <v>396</v>
      </c>
      <c r="F136" s="262">
        <f>2.45+('Design Calculator'!F$110*((2.45/('Design Calculator'!F$111+'Design Calculator'!F$112))+(12/1000)))</f>
        <v>10.94442379</v>
      </c>
      <c r="G136" s="262">
        <f>2.45+('Design Calculator'!F$110*((2.45/'Design Calculator'!F$111)+(12/1000)))</f>
        <v>14.62019569</v>
      </c>
      <c r="H136" s="11"/>
    </row>
    <row r="137" ht="12.0" customHeight="1">
      <c r="B137" s="272"/>
      <c r="C137" s="11"/>
      <c r="D137" s="11"/>
      <c r="E137" s="273" t="s">
        <v>397</v>
      </c>
      <c r="F137" s="262">
        <f>2.5+('Design Calculator'!F$110*((2.5/('Design Calculator'!F$111+'Design Calculator'!F$112))+(21/1000)))</f>
        <v>12.0016153</v>
      </c>
      <c r="G137" s="262">
        <f>2.5+('Design Calculator'!F$110*((2.5/'Design Calculator'!F$111)+(21/1000)))</f>
        <v>15.75240295</v>
      </c>
      <c r="H137" s="11"/>
    </row>
    <row r="138" ht="12.0" customHeight="1">
      <c r="B138" s="274"/>
      <c r="C138" s="275"/>
      <c r="D138" s="275"/>
      <c r="E138" s="276" t="s">
        <v>398</v>
      </c>
      <c r="F138" s="262">
        <f>2.55+('Design Calculator'!F$110*((2.55/('Design Calculator'!F$111+'Design Calculator'!F$112))+(30/1000)))</f>
        <v>13.05880681</v>
      </c>
      <c r="G138" s="262">
        <f>2.55+('Design Calculator'!F$110*((2.55/'Design Calculator'!F$111)+(30/1000)))</f>
        <v>16.88461021</v>
      </c>
      <c r="H138" s="11"/>
    </row>
    <row r="139" ht="12.0" customHeight="1">
      <c r="D139" s="11"/>
      <c r="E139" s="235" t="s">
        <v>399</v>
      </c>
      <c r="F139" s="262">
        <f>2.45*('Design Calculator'!F$110+'Design Calculator'!F$111+'Design Calculator'!F$112)/('Design Calculator'!F$111+'Design Calculator'!F$112)</f>
        <v>9.801543793</v>
      </c>
      <c r="G139" s="262">
        <f>2.45*('Design Calculator'!F$110+'Design Calculator'!F$111)/'Design Calculator'!F$111</f>
        <v>13.47731569</v>
      </c>
      <c r="H139" s="11"/>
    </row>
    <row r="140" ht="12.0" customHeight="1">
      <c r="D140" s="11"/>
      <c r="E140" s="235" t="s">
        <v>400</v>
      </c>
      <c r="F140" s="262">
        <f>2.5*('Design Calculator'!F$110+'Design Calculator'!F$111+'Design Calculator'!F$112)/('Design Calculator'!F$111+'Design Calculator'!F$112)</f>
        <v>10.0015753</v>
      </c>
      <c r="G140" s="262">
        <f>2.5*('Design Calculator'!F$110+'Design Calculator'!F$111)/'Design Calculator'!F$111</f>
        <v>13.75236295</v>
      </c>
      <c r="H140" s="11"/>
    </row>
    <row r="141" ht="12.0" customHeight="1">
      <c r="D141" s="11"/>
      <c r="E141" s="235" t="s">
        <v>401</v>
      </c>
      <c r="F141" s="262">
        <f>2.55*('Design Calculator'!F$110+'Design Calculator'!F$111+'Design Calculator'!F$112)/('Design Calculator'!F$111+'Design Calculator'!F$112)</f>
        <v>10.20160681</v>
      </c>
      <c r="G141" s="262">
        <f>2.55*('Design Calculator'!F$110+'Design Calculator'!F$111)/'Design Calculator'!F$111</f>
        <v>14.02741021</v>
      </c>
      <c r="H141" s="11"/>
    </row>
    <row r="142" ht="12.0" customHeight="1">
      <c r="B142" s="269"/>
      <c r="C142" s="270"/>
      <c r="D142" s="270"/>
      <c r="E142" s="271" t="s">
        <v>402</v>
      </c>
      <c r="F142" s="262">
        <f>2.45*('Design Calculator'!F$110+'Design Calculator'!F$111+'Design Calculator'!F$112)/'Design Calculator'!F$112</f>
        <v>29.40463138</v>
      </c>
      <c r="G142" s="262">
        <f>2.45*('Design Calculator'!F$112+'Design Calculator'!F$113)/'Design Calculator'!F$113</f>
        <v>9.380748663</v>
      </c>
      <c r="H142" s="11"/>
    </row>
    <row r="143" ht="12.0" customHeight="1">
      <c r="B143" s="272"/>
      <c r="C143" s="11"/>
      <c r="D143" s="11"/>
      <c r="E143" s="273" t="s">
        <v>403</v>
      </c>
      <c r="F143" s="262">
        <f>2.5*('Design Calculator'!F$110+'Design Calculator'!F$111+'Design Calculator'!F$112)/'Design Calculator'!F$112</f>
        <v>30.0047259</v>
      </c>
      <c r="G143" s="262">
        <f>2.5*('Design Calculator'!F$112+'Design Calculator'!F$113)/'Design Calculator'!F$113</f>
        <v>9.572192513</v>
      </c>
      <c r="H143" s="11"/>
    </row>
    <row r="144" ht="12.0" customHeight="1">
      <c r="B144" s="274"/>
      <c r="C144" s="275"/>
      <c r="D144" s="275"/>
      <c r="E144" s="276" t="s">
        <v>404</v>
      </c>
      <c r="F144" s="262">
        <f>2.55*('Design Calculator'!F$110+'Design Calculator'!F$111+'Design Calculator'!F$112)/'Design Calculator'!F$112</f>
        <v>30.60482042</v>
      </c>
      <c r="G144" s="262">
        <f>2.55*('Design Calculator'!F$112+'Design Calculator'!F$113)/'Design Calculator'!F$113</f>
        <v>9.763636364</v>
      </c>
      <c r="H144" s="11"/>
    </row>
    <row r="145" ht="12.0" customHeight="1">
      <c r="D145" s="11"/>
      <c r="E145" s="235" t="s">
        <v>405</v>
      </c>
      <c r="F145" s="262">
        <f>2.45+(('Design Calculator'!F$110+'Design Calculator'!F$111)*((2.45/'Design Calculator'!F$112)-(30/1000)))</f>
        <v>25.91263138</v>
      </c>
      <c r="G145" s="262">
        <f>2.45+('Design Calculator'!F$112*((2.45/'Design Calculator'!F$113)-(30/1000)))</f>
        <v>9.063348663</v>
      </c>
      <c r="H145" s="11"/>
    </row>
    <row r="146" ht="12.0" customHeight="1">
      <c r="D146" s="11"/>
      <c r="E146" s="235" t="s">
        <v>406</v>
      </c>
      <c r="F146" s="262">
        <f>2.5+(('Design Calculator'!F$110+'Design Calculator'!F$111)*((2.5/'Design Calculator'!F$112)-(21/1000)))</f>
        <v>27.5603259</v>
      </c>
      <c r="G146" s="262">
        <f>2.5+('Design Calculator'!F$112*((2.5/'Design Calculator'!F$113)-(21/1000)))</f>
        <v>9.350012513</v>
      </c>
      <c r="H146" s="11"/>
    </row>
    <row r="147" ht="12.0" customHeight="1">
      <c r="D147" s="11"/>
      <c r="E147" s="235" t="s">
        <v>407</v>
      </c>
      <c r="F147" s="262">
        <f>2.55+(('Design Calculator'!F$110+'Design Calculator'!F$111)*((2.55/'Design Calculator'!F$112)-(12/1000)))</f>
        <v>29.20802042</v>
      </c>
      <c r="G147" s="262">
        <f>2.55+('Design Calculator'!F$112*((2.55/'Design Calculator'!F$113)-(12/1000)))</f>
        <v>9.636676364</v>
      </c>
      <c r="H147" s="11"/>
    </row>
    <row r="148" ht="12.0" customHeight="1">
      <c r="D148" s="11"/>
      <c r="E148" s="11"/>
      <c r="F148" s="11"/>
      <c r="G148" s="11"/>
      <c r="H148" s="11"/>
    </row>
    <row r="149" ht="12.0" customHeight="1">
      <c r="D149" s="11"/>
      <c r="E149" s="11"/>
      <c r="F149" s="11"/>
      <c r="G149" s="11"/>
      <c r="H149" s="11"/>
    </row>
    <row r="150" ht="12.0" customHeight="1">
      <c r="D150" s="11"/>
      <c r="E150" s="11"/>
      <c r="F150" s="11"/>
      <c r="G150" s="11"/>
      <c r="H150" s="11"/>
    </row>
    <row r="151" ht="12.0" customHeight="1">
      <c r="D151" s="11"/>
      <c r="E151" s="11"/>
      <c r="F151" s="11"/>
      <c r="G151" s="11"/>
      <c r="H151" s="11"/>
    </row>
    <row r="152" ht="12.0" customHeight="1">
      <c r="D152" s="11"/>
      <c r="E152" s="11"/>
      <c r="F152" s="11"/>
      <c r="G152" s="11"/>
      <c r="H152" s="11"/>
    </row>
    <row r="153" ht="12.0" customHeight="1">
      <c r="D153" s="11"/>
      <c r="E153" s="11"/>
      <c r="F153" s="11"/>
      <c r="G153" s="11"/>
      <c r="H153" s="11"/>
    </row>
    <row r="154" ht="12.0" customHeight="1">
      <c r="D154" s="11"/>
      <c r="E154" s="11"/>
      <c r="F154" s="11"/>
      <c r="G154" s="11"/>
      <c r="H154" s="11"/>
    </row>
    <row r="155" ht="12.0" customHeight="1">
      <c r="D155" s="11"/>
      <c r="E155" s="235" t="s">
        <v>408</v>
      </c>
      <c r="F155" s="11" t="str">
        <f>'Design Calculator'!#REF!</f>
        <v>#ERROR!</v>
      </c>
      <c r="G155" s="11" t="s">
        <v>77</v>
      </c>
      <c r="H155" s="11"/>
    </row>
    <row r="156" ht="12.0" customHeight="1">
      <c r="D156" s="11"/>
      <c r="E156" s="235" t="s">
        <v>409</v>
      </c>
      <c r="F156" s="11">
        <f>'Design Calculator'!F20</f>
        <v>24</v>
      </c>
      <c r="G156" s="11" t="s">
        <v>54</v>
      </c>
      <c r="H156" s="11"/>
    </row>
    <row r="157" ht="12.0" customHeight="1">
      <c r="D157" s="11"/>
      <c r="E157" s="235" t="s">
        <v>410</v>
      </c>
      <c r="F157" s="11" t="str">
        <f>22/F156*F155</f>
        <v>#ERROR!</v>
      </c>
      <c r="G157" s="11" t="s">
        <v>160</v>
      </c>
      <c r="H157" s="11"/>
    </row>
    <row r="158" ht="12.0" customHeight="1">
      <c r="D158" s="11"/>
      <c r="E158" s="11"/>
      <c r="F158" s="11"/>
      <c r="G158" s="11"/>
      <c r="H158" s="11"/>
    </row>
    <row r="159" ht="12.0" customHeight="1">
      <c r="D159" s="11"/>
      <c r="E159" s="11"/>
      <c r="F159" s="11"/>
      <c r="G159" s="11"/>
      <c r="H159" s="11"/>
    </row>
    <row r="160" ht="12.0" customHeight="1">
      <c r="D160" s="11"/>
      <c r="E160" s="11"/>
      <c r="F160" s="11"/>
      <c r="G160" s="11"/>
      <c r="H160" s="11"/>
    </row>
    <row r="161" ht="12.0" customHeight="1">
      <c r="D161" s="11"/>
      <c r="E161" s="11"/>
      <c r="F161" s="11"/>
      <c r="G161" s="11"/>
      <c r="H161" s="11"/>
    </row>
    <row r="162" ht="12.0" customHeight="1">
      <c r="D162" s="11"/>
      <c r="E162" s="11"/>
      <c r="F162" s="11"/>
      <c r="G162" s="11"/>
      <c r="H162" s="11"/>
    </row>
    <row r="163" ht="12.0" customHeight="1">
      <c r="D163" s="11"/>
      <c r="E163" s="11"/>
      <c r="F163" s="11"/>
      <c r="G163" s="11"/>
      <c r="H163" s="11"/>
    </row>
    <row r="164" ht="12.0" customHeight="1">
      <c r="D164" s="11"/>
      <c r="E164" s="11"/>
      <c r="F164" s="11"/>
      <c r="G164" s="11"/>
      <c r="H164" s="11"/>
    </row>
    <row r="165" ht="12.0" customHeight="1">
      <c r="D165" s="11"/>
      <c r="E165" s="11"/>
      <c r="F165" s="11"/>
      <c r="G165" s="11"/>
      <c r="H165" s="11"/>
    </row>
    <row r="166" ht="12.0" customHeight="1">
      <c r="D166" s="11"/>
      <c r="E166" s="11"/>
      <c r="F166" s="11"/>
      <c r="G166" s="11"/>
      <c r="H166" s="11"/>
    </row>
    <row r="167" ht="12.0" customHeight="1">
      <c r="D167" s="11"/>
      <c r="E167" s="11"/>
      <c r="F167" s="11"/>
      <c r="G167" s="11"/>
      <c r="H167" s="11"/>
    </row>
    <row r="168" ht="12.0" customHeight="1">
      <c r="D168" s="11"/>
      <c r="E168" s="11"/>
      <c r="F168" s="11"/>
      <c r="G168" s="11"/>
      <c r="H168" s="11"/>
    </row>
    <row r="169" ht="12.0" customHeight="1">
      <c r="D169" s="11"/>
      <c r="E169" s="11"/>
      <c r="F169" s="11"/>
      <c r="G169" s="11"/>
      <c r="H169" s="11"/>
    </row>
    <row r="170" ht="12.0" customHeight="1">
      <c r="D170" s="11"/>
      <c r="E170" s="11"/>
      <c r="F170" s="11"/>
      <c r="G170" s="11"/>
      <c r="H170" s="11"/>
    </row>
    <row r="171" ht="12.0" customHeight="1">
      <c r="D171" s="11"/>
      <c r="E171" s="11"/>
      <c r="F171" s="11"/>
      <c r="G171" s="11"/>
      <c r="H171" s="11"/>
    </row>
    <row r="172" ht="12.0" customHeight="1">
      <c r="D172" s="11"/>
      <c r="E172" s="11"/>
      <c r="F172" s="11"/>
      <c r="G172" s="11"/>
      <c r="H172" s="11"/>
    </row>
    <row r="173" ht="12.0" customHeight="1">
      <c r="D173" s="11"/>
      <c r="E173" s="11"/>
      <c r="F173" s="11"/>
      <c r="G173" s="11"/>
      <c r="H173" s="11"/>
    </row>
    <row r="174" ht="12.0" customHeight="1">
      <c r="D174" s="11"/>
      <c r="E174" s="11"/>
      <c r="F174" s="11"/>
      <c r="G174" s="11"/>
      <c r="H174" s="11"/>
    </row>
    <row r="175" ht="12.0" customHeight="1">
      <c r="D175" s="11"/>
      <c r="E175" s="11"/>
      <c r="F175" s="11"/>
      <c r="G175" s="11"/>
      <c r="H175" s="11"/>
    </row>
    <row r="176" ht="12.0" customHeight="1"/>
    <row r="177" ht="12.0" customHeight="1"/>
    <row r="178" ht="12.0" customHeight="1">
      <c r="C178" s="135" t="s">
        <v>411</v>
      </c>
    </row>
    <row r="179" ht="12.0" customHeight="1">
      <c r="E179" s="235" t="s">
        <v>412</v>
      </c>
      <c r="F179" s="252">
        <f>'Design Calculator'!F35</f>
        <v>2.5</v>
      </c>
    </row>
    <row r="180" ht="12.0" customHeight="1">
      <c r="E180" s="235" t="s">
        <v>413</v>
      </c>
      <c r="F180" s="252">
        <f>'Design Calculator'!F51</f>
        <v>22</v>
      </c>
    </row>
    <row r="181" ht="12.0" customHeight="1">
      <c r="E181" s="235" t="s">
        <v>414</v>
      </c>
      <c r="F181" s="252">
        <f>'Design Calculator'!F21</f>
        <v>30</v>
      </c>
    </row>
    <row r="182" ht="12.0" customHeight="1"/>
    <row r="183" ht="12.0" customHeight="1">
      <c r="E183" s="235" t="s">
        <v>415</v>
      </c>
      <c r="F183" s="262">
        <f t="shared" ref="F183:F185" si="5">F24</f>
        <v>19.4</v>
      </c>
    </row>
    <row r="184" ht="12.0" customHeight="1">
      <c r="E184" s="235" t="s">
        <v>416</v>
      </c>
      <c r="F184" s="262">
        <f t="shared" si="5"/>
        <v>22</v>
      </c>
    </row>
    <row r="185" ht="12.0" customHeight="1">
      <c r="E185" s="235" t="s">
        <v>417</v>
      </c>
      <c r="F185" s="262">
        <f t="shared" si="5"/>
        <v>24.6</v>
      </c>
    </row>
    <row r="186" ht="12.0" customHeight="1"/>
    <row r="187" ht="12.0" customHeight="1">
      <c r="E187" s="235" t="s">
        <v>418</v>
      </c>
      <c r="F187" s="267">
        <f t="shared" ref="F187:F189" si="6">F48</f>
        <v>53.504</v>
      </c>
    </row>
    <row r="188" ht="12.0" customHeight="1">
      <c r="E188" s="235" t="s">
        <v>419</v>
      </c>
      <c r="F188" s="267">
        <f t="shared" si="6"/>
        <v>70.4</v>
      </c>
      <c r="Y188" s="11" t="s">
        <v>88</v>
      </c>
    </row>
    <row r="189" ht="12.0" customHeight="1">
      <c r="E189" s="235" t="s">
        <v>420</v>
      </c>
      <c r="F189" s="267">
        <f t="shared" si="6"/>
        <v>87.296</v>
      </c>
    </row>
    <row r="190" ht="12.0" customHeight="1"/>
    <row r="191" ht="12.0" customHeight="1"/>
    <row r="192" ht="12.0" customHeight="1"/>
    <row r="193" ht="12.0" customHeight="1"/>
    <row r="194" ht="12.0" customHeight="1">
      <c r="D194" s="108" t="s">
        <v>421</v>
      </c>
      <c r="E194" s="235"/>
      <c r="I194" s="108" t="s">
        <v>422</v>
      </c>
      <c r="N194" s="108" t="s">
        <v>423</v>
      </c>
      <c r="R194" s="11" t="s">
        <v>424</v>
      </c>
    </row>
    <row r="195" ht="12.0" customHeight="1">
      <c r="D195" s="108" t="s">
        <v>425</v>
      </c>
      <c r="I195" s="108" t="s">
        <v>426</v>
      </c>
      <c r="N195" s="108" t="s">
        <v>427</v>
      </c>
      <c r="R195" s="11" t="s">
        <v>428</v>
      </c>
    </row>
    <row r="196" ht="12.0" customHeight="1">
      <c r="B196" s="11" t="s">
        <v>429</v>
      </c>
      <c r="D196" s="259" t="s">
        <v>279</v>
      </c>
      <c r="E196" s="259" t="s">
        <v>263</v>
      </c>
      <c r="F196" s="259" t="s">
        <v>264</v>
      </c>
      <c r="G196" s="259" t="s">
        <v>265</v>
      </c>
      <c r="I196" s="259" t="s">
        <v>279</v>
      </c>
      <c r="J196" s="259" t="s">
        <v>263</v>
      </c>
      <c r="K196" s="259" t="s">
        <v>264</v>
      </c>
      <c r="L196" s="259" t="s">
        <v>265</v>
      </c>
      <c r="N196" s="108" t="s">
        <v>430</v>
      </c>
      <c r="R196" s="259" t="s">
        <v>279</v>
      </c>
      <c r="S196" s="259" t="s">
        <v>263</v>
      </c>
      <c r="T196" s="259" t="s">
        <v>264</v>
      </c>
      <c r="U196" s="259" t="s">
        <v>265</v>
      </c>
      <c r="V196" s="259" t="s">
        <v>431</v>
      </c>
      <c r="X196" s="277" t="s">
        <v>432</v>
      </c>
    </row>
    <row r="197" ht="12.0" customHeight="1">
      <c r="B197" s="108">
        <f t="shared" ref="B197:B276" si="8">D197*F197</f>
        <v>58.8</v>
      </c>
      <c r="D197" s="259">
        <v>1.0</v>
      </c>
      <c r="E197" s="278">
        <f t="shared" ref="E197:E276" si="9">(1-$F$284)*F197</f>
        <v>44.1</v>
      </c>
      <c r="F197" s="278">
        <f>($F$188+(D197-VINMAX)*$E$281/$E$282)/D197</f>
        <v>58.8</v>
      </c>
      <c r="G197" s="278">
        <f t="shared" ref="G197:G276" si="10">F197*(1+$F$284)</f>
        <v>73.5</v>
      </c>
      <c r="I197" s="259">
        <v>1.0</v>
      </c>
      <c r="J197" s="278">
        <f t="shared" ref="J197:J276" si="11">IF(E197&gt;$F$183,$F$183,E197)</f>
        <v>19.4</v>
      </c>
      <c r="K197" s="278">
        <f t="shared" ref="K197:K276" si="12">IF(F197&gt;$F$184,$F$184,F197)</f>
        <v>22</v>
      </c>
      <c r="L197" s="278">
        <f t="shared" ref="L197:L276" si="13">IF(G197&gt;$F$185,$F$185,G197)</f>
        <v>24.6</v>
      </c>
      <c r="N197" s="108" t="s">
        <v>433</v>
      </c>
      <c r="R197" s="259">
        <v>1.0</v>
      </c>
      <c r="S197" s="278">
        <f t="shared" ref="S197:U197" si="7">IF($R197&gt;$F$181,0.0000000005,J197)</f>
        <v>19.4</v>
      </c>
      <c r="T197" s="278">
        <f t="shared" si="7"/>
        <v>22</v>
      </c>
      <c r="U197" s="278">
        <f t="shared" si="7"/>
        <v>24.6</v>
      </c>
      <c r="V197" s="278">
        <f t="shared" ref="V197:V276" si="15">$X$197/R197</f>
        <v>580.88833</v>
      </c>
      <c r="X197" s="108">
        <f>SOA!C29</f>
        <v>580.88833</v>
      </c>
    </row>
    <row r="198" ht="12.0" customHeight="1">
      <c r="B198" s="108">
        <f t="shared" si="8"/>
        <v>59.2</v>
      </c>
      <c r="D198" s="259">
        <v>2.0</v>
      </c>
      <c r="E198" s="278">
        <f t="shared" si="9"/>
        <v>22.2</v>
      </c>
      <c r="F198" s="278">
        <f>($F$188+(D198-VINMAX)*$E$281/$E$282)/D198</f>
        <v>29.6</v>
      </c>
      <c r="G198" s="278">
        <f t="shared" si="10"/>
        <v>37</v>
      </c>
      <c r="I198" s="259">
        <v>2.0</v>
      </c>
      <c r="J198" s="278">
        <f t="shared" si="11"/>
        <v>19.4</v>
      </c>
      <c r="K198" s="278">
        <f t="shared" si="12"/>
        <v>22</v>
      </c>
      <c r="L198" s="278">
        <f t="shared" si="13"/>
        <v>24.6</v>
      </c>
      <c r="R198" s="259">
        <v>2.0</v>
      </c>
      <c r="S198" s="278">
        <f t="shared" ref="S198:U198" si="14">IF($R198&gt;$F$181,0.0000000005,J198)</f>
        <v>19.4</v>
      </c>
      <c r="T198" s="278">
        <f t="shared" si="14"/>
        <v>22</v>
      </c>
      <c r="U198" s="278">
        <f t="shared" si="14"/>
        <v>24.6</v>
      </c>
      <c r="V198" s="278">
        <f t="shared" si="15"/>
        <v>290.444165</v>
      </c>
    </row>
    <row r="199" ht="12.0" customHeight="1">
      <c r="B199" s="108">
        <f t="shared" si="8"/>
        <v>59.6</v>
      </c>
      <c r="D199" s="259">
        <v>3.0</v>
      </c>
      <c r="E199" s="278">
        <f t="shared" si="9"/>
        <v>14.9</v>
      </c>
      <c r="F199" s="278">
        <f>($F$188+(D199-VINMAX)*$E$281/$E$282)/D199</f>
        <v>19.86666667</v>
      </c>
      <c r="G199" s="278">
        <f t="shared" si="10"/>
        <v>24.83333333</v>
      </c>
      <c r="I199" s="259">
        <v>3.0</v>
      </c>
      <c r="J199" s="278">
        <f t="shared" si="11"/>
        <v>14.9</v>
      </c>
      <c r="K199" s="278">
        <f t="shared" si="12"/>
        <v>19.86666667</v>
      </c>
      <c r="L199" s="278">
        <f t="shared" si="13"/>
        <v>24.6</v>
      </c>
      <c r="O199" s="279" t="s">
        <v>434</v>
      </c>
      <c r="R199" s="259">
        <v>3.0</v>
      </c>
      <c r="S199" s="278">
        <f t="shared" ref="S199:U199" si="16">IF($R199&gt;$F$181,0.0000000005,J199)</f>
        <v>14.9</v>
      </c>
      <c r="T199" s="278">
        <f t="shared" si="16"/>
        <v>19.86666667</v>
      </c>
      <c r="U199" s="278">
        <f t="shared" si="16"/>
        <v>24.6</v>
      </c>
      <c r="V199" s="278">
        <f t="shared" si="15"/>
        <v>193.6294433</v>
      </c>
    </row>
    <row r="200" ht="12.0" customHeight="1">
      <c r="B200" s="108">
        <f t="shared" si="8"/>
        <v>60</v>
      </c>
      <c r="D200" s="259">
        <v>4.0</v>
      </c>
      <c r="E200" s="278">
        <f t="shared" si="9"/>
        <v>11.25</v>
      </c>
      <c r="F200" s="278">
        <f>($F$188+(D200-VINMAX)*$E$281/$E$282)/D200</f>
        <v>15</v>
      </c>
      <c r="G200" s="278">
        <f t="shared" si="10"/>
        <v>18.75</v>
      </c>
      <c r="I200" s="259">
        <v>4.0</v>
      </c>
      <c r="J200" s="278">
        <f t="shared" si="11"/>
        <v>11.25</v>
      </c>
      <c r="K200" s="278">
        <f t="shared" si="12"/>
        <v>15</v>
      </c>
      <c r="L200" s="278">
        <f t="shared" si="13"/>
        <v>18.75</v>
      </c>
      <c r="N200" s="280" t="s">
        <v>279</v>
      </c>
      <c r="O200" s="281" t="s">
        <v>435</v>
      </c>
      <c r="R200" s="259">
        <v>4.0</v>
      </c>
      <c r="S200" s="278">
        <f t="shared" ref="S200:U200" si="17">IF($R200&gt;$F$181,0.0000000005,J200)</f>
        <v>11.25</v>
      </c>
      <c r="T200" s="278">
        <f t="shared" si="17"/>
        <v>15</v>
      </c>
      <c r="U200" s="278">
        <f t="shared" si="17"/>
        <v>18.75</v>
      </c>
      <c r="V200" s="278">
        <f t="shared" si="15"/>
        <v>145.2220825</v>
      </c>
    </row>
    <row r="201" ht="12.0" customHeight="1">
      <c r="B201" s="108">
        <f t="shared" si="8"/>
        <v>60.4</v>
      </c>
      <c r="D201" s="259">
        <v>5.0</v>
      </c>
      <c r="E201" s="278">
        <f t="shared" si="9"/>
        <v>9.06</v>
      </c>
      <c r="F201" s="278">
        <f>($F$188+(D201-VINMAX)*$E$281/$E$282)/D201</f>
        <v>12.08</v>
      </c>
      <c r="G201" s="278">
        <f t="shared" si="10"/>
        <v>15.1</v>
      </c>
      <c r="I201" s="259">
        <v>5.0</v>
      </c>
      <c r="J201" s="278">
        <f t="shared" si="11"/>
        <v>9.06</v>
      </c>
      <c r="K201" s="278">
        <f t="shared" si="12"/>
        <v>12.08</v>
      </c>
      <c r="L201" s="278">
        <f t="shared" si="13"/>
        <v>15.1</v>
      </c>
      <c r="N201" s="259">
        <v>1.0</v>
      </c>
      <c r="O201" s="259" t="str">
        <f>#REF!</f>
        <v>#REF!</v>
      </c>
      <c r="P201" s="108" t="s">
        <v>436</v>
      </c>
      <c r="R201" s="259">
        <v>5.0</v>
      </c>
      <c r="S201" s="278">
        <f t="shared" ref="S201:U201" si="18">IF($R201&gt;$F$181,0.0000000005,J201)</f>
        <v>9.06</v>
      </c>
      <c r="T201" s="278">
        <f t="shared" si="18"/>
        <v>12.08</v>
      </c>
      <c r="U201" s="278">
        <f t="shared" si="18"/>
        <v>15.1</v>
      </c>
      <c r="V201" s="278">
        <f t="shared" si="15"/>
        <v>116.177666</v>
      </c>
    </row>
    <row r="202" ht="12.0" customHeight="1">
      <c r="B202" s="108">
        <f t="shared" si="8"/>
        <v>60.8</v>
      </c>
      <c r="D202" s="259">
        <v>6.0</v>
      </c>
      <c r="E202" s="278">
        <f t="shared" si="9"/>
        <v>7.6</v>
      </c>
      <c r="F202" s="278">
        <f>($F$188+(D202-VINMAX)*$E$281/$E$282)/D202</f>
        <v>10.13333333</v>
      </c>
      <c r="G202" s="278">
        <f t="shared" si="10"/>
        <v>12.66666667</v>
      </c>
      <c r="I202" s="259">
        <v>6.0</v>
      </c>
      <c r="J202" s="278">
        <f t="shared" si="11"/>
        <v>7.6</v>
      </c>
      <c r="K202" s="278">
        <f t="shared" si="12"/>
        <v>10.13333333</v>
      </c>
      <c r="L202" s="278">
        <f t="shared" si="13"/>
        <v>12.66666667</v>
      </c>
      <c r="N202" s="259">
        <v>2.0</v>
      </c>
      <c r="O202" s="278" t="str">
        <f>O205+((O201-O205)*3/7)</f>
        <v>#REF!</v>
      </c>
      <c r="R202" s="259">
        <v>6.0</v>
      </c>
      <c r="S202" s="278">
        <f t="shared" ref="S202:U202" si="19">IF($R202&gt;$F$181,0.0000000005,J202)</f>
        <v>7.6</v>
      </c>
      <c r="T202" s="278">
        <f t="shared" si="19"/>
        <v>10.13333333</v>
      </c>
      <c r="U202" s="278">
        <f t="shared" si="19"/>
        <v>12.66666667</v>
      </c>
      <c r="V202" s="278">
        <f t="shared" si="15"/>
        <v>96.81472167</v>
      </c>
    </row>
    <row r="203" ht="12.0" customHeight="1">
      <c r="B203" s="108">
        <f t="shared" si="8"/>
        <v>61.2</v>
      </c>
      <c r="D203" s="259">
        <v>7.0</v>
      </c>
      <c r="E203" s="278">
        <f t="shared" si="9"/>
        <v>6.557142857</v>
      </c>
      <c r="F203" s="278">
        <f>($F$188+(D203-VINMAX)*$E$281/$E$282)/D203</f>
        <v>8.742857143</v>
      </c>
      <c r="G203" s="278">
        <f t="shared" si="10"/>
        <v>10.92857143</v>
      </c>
      <c r="I203" s="259">
        <v>7.0</v>
      </c>
      <c r="J203" s="278">
        <f t="shared" si="11"/>
        <v>6.557142857</v>
      </c>
      <c r="K203" s="278">
        <f t="shared" si="12"/>
        <v>8.742857143</v>
      </c>
      <c r="L203" s="278">
        <f t="shared" si="13"/>
        <v>10.92857143</v>
      </c>
      <c r="N203" s="259">
        <v>3.0</v>
      </c>
      <c r="O203" s="278" t="str">
        <f>O205+((O201-O205)*2/8)</f>
        <v>#REF!</v>
      </c>
      <c r="R203" s="259">
        <v>7.0</v>
      </c>
      <c r="S203" s="278">
        <f t="shared" ref="S203:U203" si="20">IF($R203&gt;$F$181,0.0000000005,J203)</f>
        <v>6.557142857</v>
      </c>
      <c r="T203" s="278">
        <f t="shared" si="20"/>
        <v>8.742857143</v>
      </c>
      <c r="U203" s="278">
        <f t="shared" si="20"/>
        <v>10.92857143</v>
      </c>
      <c r="V203" s="278">
        <f t="shared" si="15"/>
        <v>82.98404715</v>
      </c>
    </row>
    <row r="204" ht="12.0" customHeight="1">
      <c r="B204" s="108">
        <f t="shared" si="8"/>
        <v>61.6</v>
      </c>
      <c r="D204" s="259">
        <v>8.0</v>
      </c>
      <c r="E204" s="278">
        <f t="shared" si="9"/>
        <v>5.775</v>
      </c>
      <c r="F204" s="278">
        <f>($F$188+(D204-VINMAX)*$E$281/$E$282)/D204</f>
        <v>7.7</v>
      </c>
      <c r="G204" s="278">
        <f t="shared" si="10"/>
        <v>9.625</v>
      </c>
      <c r="I204" s="259">
        <v>8.0</v>
      </c>
      <c r="J204" s="278">
        <f t="shared" si="11"/>
        <v>5.775</v>
      </c>
      <c r="K204" s="278">
        <f t="shared" si="12"/>
        <v>7.7</v>
      </c>
      <c r="L204" s="278">
        <f t="shared" si="13"/>
        <v>9.625</v>
      </c>
      <c r="N204" s="259">
        <v>4.0</v>
      </c>
      <c r="O204" s="278" t="str">
        <f>O205+((O201-O205)*1/9)</f>
        <v>#REF!</v>
      </c>
      <c r="R204" s="259">
        <v>8.0</v>
      </c>
      <c r="S204" s="278">
        <f t="shared" ref="S204:U204" si="21">IF($R204&gt;$F$181,0.0000000005,J204)</f>
        <v>5.775</v>
      </c>
      <c r="T204" s="278">
        <f t="shared" si="21"/>
        <v>7.7</v>
      </c>
      <c r="U204" s="278">
        <f t="shared" si="21"/>
        <v>9.625</v>
      </c>
      <c r="V204" s="278">
        <f t="shared" si="15"/>
        <v>72.61104125</v>
      </c>
    </row>
    <row r="205" ht="12.0" customHeight="1">
      <c r="B205" s="108">
        <f t="shared" si="8"/>
        <v>62</v>
      </c>
      <c r="D205" s="259">
        <v>9.0</v>
      </c>
      <c r="E205" s="278">
        <f t="shared" si="9"/>
        <v>5.166666667</v>
      </c>
      <c r="F205" s="278">
        <f>($F$188+(D205-VINMAX)*$E$281/$E$282)/D205</f>
        <v>6.888888889</v>
      </c>
      <c r="G205" s="278">
        <f t="shared" si="10"/>
        <v>8.611111111</v>
      </c>
      <c r="I205" s="259">
        <v>9.0</v>
      </c>
      <c r="J205" s="278">
        <f t="shared" si="11"/>
        <v>5.166666667</v>
      </c>
      <c r="K205" s="278">
        <f t="shared" si="12"/>
        <v>6.888888889</v>
      </c>
      <c r="L205" s="278">
        <f t="shared" si="13"/>
        <v>8.611111111</v>
      </c>
      <c r="N205" s="259">
        <v>5.0</v>
      </c>
      <c r="O205" s="278" t="str">
        <f>#REF!</f>
        <v>#REF!</v>
      </c>
      <c r="P205" s="108" t="s">
        <v>437</v>
      </c>
      <c r="R205" s="259">
        <v>9.0</v>
      </c>
      <c r="S205" s="278">
        <f t="shared" ref="S205:U205" si="22">IF($R205&gt;$F$181,0.0000000005,J205)</f>
        <v>5.166666667</v>
      </c>
      <c r="T205" s="278">
        <f t="shared" si="22"/>
        <v>6.888888889</v>
      </c>
      <c r="U205" s="278">
        <f t="shared" si="22"/>
        <v>8.611111111</v>
      </c>
      <c r="V205" s="278">
        <f t="shared" si="15"/>
        <v>64.54314778</v>
      </c>
    </row>
    <row r="206" ht="12.0" customHeight="1">
      <c r="B206" s="108">
        <f t="shared" si="8"/>
        <v>62.4</v>
      </c>
      <c r="D206" s="259">
        <v>10.0</v>
      </c>
      <c r="E206" s="278">
        <f t="shared" si="9"/>
        <v>4.68</v>
      </c>
      <c r="F206" s="278">
        <f>($F$188+(D206-VINMAX)*$E$281/$E$282)/D206</f>
        <v>6.24</v>
      </c>
      <c r="G206" s="278">
        <f t="shared" si="10"/>
        <v>7.8</v>
      </c>
      <c r="I206" s="259">
        <v>10.0</v>
      </c>
      <c r="J206" s="278">
        <f t="shared" si="11"/>
        <v>4.68</v>
      </c>
      <c r="K206" s="278">
        <f t="shared" si="12"/>
        <v>6.24</v>
      </c>
      <c r="L206" s="278">
        <f t="shared" si="13"/>
        <v>7.8</v>
      </c>
      <c r="N206" s="259">
        <v>6.0</v>
      </c>
      <c r="O206" s="278" t="str">
        <f>O$210+((O$205-O$210)*4/6)</f>
        <v>#REF!</v>
      </c>
      <c r="R206" s="259">
        <v>10.0</v>
      </c>
      <c r="S206" s="278">
        <f t="shared" ref="S206:U206" si="23">IF($R206&gt;$F$181,0.0000000005,J206)</f>
        <v>4.68</v>
      </c>
      <c r="T206" s="278">
        <f t="shared" si="23"/>
        <v>6.24</v>
      </c>
      <c r="U206" s="278">
        <f t="shared" si="23"/>
        <v>7.8</v>
      </c>
      <c r="V206" s="278">
        <f t="shared" si="15"/>
        <v>58.088833</v>
      </c>
    </row>
    <row r="207" ht="12.0" customHeight="1">
      <c r="B207" s="108">
        <f t="shared" si="8"/>
        <v>62.8</v>
      </c>
      <c r="D207" s="259">
        <v>11.0</v>
      </c>
      <c r="E207" s="278">
        <f t="shared" si="9"/>
        <v>4.281818182</v>
      </c>
      <c r="F207" s="278">
        <f>($F$188+(D207-VINMAX)*$E$281/$E$282)/D207</f>
        <v>5.709090909</v>
      </c>
      <c r="G207" s="278">
        <f t="shared" si="10"/>
        <v>7.136363636</v>
      </c>
      <c r="I207" s="259">
        <v>11.0</v>
      </c>
      <c r="J207" s="278">
        <f t="shared" si="11"/>
        <v>4.281818182</v>
      </c>
      <c r="K207" s="278">
        <f t="shared" si="12"/>
        <v>5.709090909</v>
      </c>
      <c r="L207" s="278">
        <f t="shared" si="13"/>
        <v>7.136363636</v>
      </c>
      <c r="N207" s="259">
        <v>7.0</v>
      </c>
      <c r="O207" s="278" t="str">
        <f>O$210+((O$205-O$210)*3/7)</f>
        <v>#REF!</v>
      </c>
      <c r="R207" s="259">
        <v>11.0</v>
      </c>
      <c r="S207" s="278">
        <f t="shared" ref="S207:U207" si="24">IF($R207&gt;$F$181,0.0000000005,J207)</f>
        <v>4.281818182</v>
      </c>
      <c r="T207" s="278">
        <f t="shared" si="24"/>
        <v>5.709090909</v>
      </c>
      <c r="U207" s="278">
        <f t="shared" si="24"/>
        <v>7.136363636</v>
      </c>
      <c r="V207" s="278">
        <f t="shared" si="15"/>
        <v>52.80803</v>
      </c>
    </row>
    <row r="208" ht="12.0" customHeight="1">
      <c r="B208" s="108">
        <f t="shared" si="8"/>
        <v>63.2</v>
      </c>
      <c r="D208" s="259">
        <v>12.0</v>
      </c>
      <c r="E208" s="278">
        <f t="shared" si="9"/>
        <v>3.95</v>
      </c>
      <c r="F208" s="278">
        <f>($F$188+(D208-VINMAX)*$E$281/$E$282)/D208</f>
        <v>5.266666667</v>
      </c>
      <c r="G208" s="278">
        <f t="shared" si="10"/>
        <v>6.583333333</v>
      </c>
      <c r="I208" s="259">
        <v>12.0</v>
      </c>
      <c r="J208" s="278">
        <f t="shared" si="11"/>
        <v>3.95</v>
      </c>
      <c r="K208" s="278">
        <f t="shared" si="12"/>
        <v>5.266666667</v>
      </c>
      <c r="L208" s="278">
        <f t="shared" si="13"/>
        <v>6.583333333</v>
      </c>
      <c r="N208" s="259">
        <v>8.0</v>
      </c>
      <c r="O208" s="278" t="str">
        <f>O$210+((O$205-O$210)*2/8)</f>
        <v>#REF!</v>
      </c>
      <c r="R208" s="259">
        <v>12.0</v>
      </c>
      <c r="S208" s="278">
        <f t="shared" ref="S208:U208" si="25">IF($R208&gt;$F$181,0.0000000005,J208)</f>
        <v>3.95</v>
      </c>
      <c r="T208" s="278">
        <f t="shared" si="25"/>
        <v>5.266666667</v>
      </c>
      <c r="U208" s="278">
        <f t="shared" si="25"/>
        <v>6.583333333</v>
      </c>
      <c r="V208" s="278">
        <f t="shared" si="15"/>
        <v>48.40736084</v>
      </c>
    </row>
    <row r="209" ht="12.0" customHeight="1">
      <c r="B209" s="108">
        <f t="shared" si="8"/>
        <v>63.6</v>
      </c>
      <c r="D209" s="259">
        <v>13.0</v>
      </c>
      <c r="E209" s="278">
        <f t="shared" si="9"/>
        <v>3.669230769</v>
      </c>
      <c r="F209" s="278">
        <f>($F$188+(D209-VINMAX)*$E$281/$E$282)/D209</f>
        <v>4.892307692</v>
      </c>
      <c r="G209" s="278">
        <f t="shared" si="10"/>
        <v>6.115384615</v>
      </c>
      <c r="I209" s="259">
        <v>13.0</v>
      </c>
      <c r="J209" s="278">
        <f t="shared" si="11"/>
        <v>3.669230769</v>
      </c>
      <c r="K209" s="278">
        <f t="shared" si="12"/>
        <v>4.892307692</v>
      </c>
      <c r="L209" s="278">
        <f t="shared" si="13"/>
        <v>6.115384615</v>
      </c>
      <c r="N209" s="259">
        <v>9.0</v>
      </c>
      <c r="O209" s="278" t="str">
        <f>O$210+((O$205-O$210)*1/9)</f>
        <v>#REF!</v>
      </c>
      <c r="R209" s="259">
        <v>13.0</v>
      </c>
      <c r="S209" s="278">
        <f t="shared" ref="S209:U209" si="26">IF($R209&gt;$F$181,0.0000000005,J209)</f>
        <v>3.669230769</v>
      </c>
      <c r="T209" s="278">
        <f t="shared" si="26"/>
        <v>4.892307692</v>
      </c>
      <c r="U209" s="278">
        <f t="shared" si="26"/>
        <v>6.115384615</v>
      </c>
      <c r="V209" s="278">
        <f t="shared" si="15"/>
        <v>44.68371769</v>
      </c>
    </row>
    <row r="210" ht="12.0" customHeight="1">
      <c r="B210" s="108">
        <f t="shared" si="8"/>
        <v>64</v>
      </c>
      <c r="D210" s="259">
        <v>14.0</v>
      </c>
      <c r="E210" s="278">
        <f t="shared" si="9"/>
        <v>3.428571429</v>
      </c>
      <c r="F210" s="278">
        <f>($F$188+(D210-VINMAX)*$E$281/$E$282)/D210</f>
        <v>4.571428571</v>
      </c>
      <c r="G210" s="278">
        <f t="shared" si="10"/>
        <v>5.714285714</v>
      </c>
      <c r="I210" s="259">
        <v>14.0</v>
      </c>
      <c r="J210" s="278">
        <f t="shared" si="11"/>
        <v>3.428571429</v>
      </c>
      <c r="K210" s="278">
        <f t="shared" si="12"/>
        <v>4.571428571</v>
      </c>
      <c r="L210" s="278">
        <f t="shared" si="13"/>
        <v>5.714285714</v>
      </c>
      <c r="N210" s="259">
        <v>10.0</v>
      </c>
      <c r="O210" s="278" t="str">
        <f>#REF!</f>
        <v>#REF!</v>
      </c>
      <c r="P210" s="108" t="s">
        <v>437</v>
      </c>
      <c r="R210" s="259">
        <v>14.0</v>
      </c>
      <c r="S210" s="278">
        <f t="shared" ref="S210:U210" si="27">IF($R210&gt;$F$181,0.0000000005,J210)</f>
        <v>3.428571429</v>
      </c>
      <c r="T210" s="278">
        <f t="shared" si="27"/>
        <v>4.571428571</v>
      </c>
      <c r="U210" s="278">
        <f t="shared" si="27"/>
        <v>5.714285714</v>
      </c>
      <c r="V210" s="278">
        <f t="shared" si="15"/>
        <v>41.49202357</v>
      </c>
    </row>
    <row r="211" ht="12.0" customHeight="1">
      <c r="B211" s="108">
        <f t="shared" si="8"/>
        <v>64.4</v>
      </c>
      <c r="D211" s="259">
        <v>15.0</v>
      </c>
      <c r="E211" s="278">
        <f t="shared" si="9"/>
        <v>3.22</v>
      </c>
      <c r="F211" s="278">
        <f>($F$188+(D211-VINMAX)*$E$281/$E$282)/D211</f>
        <v>4.293333333</v>
      </c>
      <c r="G211" s="278">
        <f t="shared" si="10"/>
        <v>5.366666667</v>
      </c>
      <c r="I211" s="259">
        <v>15.0</v>
      </c>
      <c r="J211" s="278">
        <f t="shared" si="11"/>
        <v>3.22</v>
      </c>
      <c r="K211" s="278">
        <f t="shared" si="12"/>
        <v>4.293333333</v>
      </c>
      <c r="L211" s="278">
        <f t="shared" si="13"/>
        <v>5.366666667</v>
      </c>
      <c r="N211" s="259">
        <v>11.0</v>
      </c>
      <c r="O211" s="278" t="str">
        <f>O$215+((O$210-O$215)*4/6)</f>
        <v>#REF!</v>
      </c>
      <c r="R211" s="259">
        <v>15.0</v>
      </c>
      <c r="S211" s="278">
        <f t="shared" ref="S211:U211" si="28">IF($R211&gt;$F$181,0.0000000005,J211)</f>
        <v>3.22</v>
      </c>
      <c r="T211" s="278">
        <f t="shared" si="28"/>
        <v>4.293333333</v>
      </c>
      <c r="U211" s="278">
        <f t="shared" si="28"/>
        <v>5.366666667</v>
      </c>
      <c r="V211" s="278">
        <f t="shared" si="15"/>
        <v>38.72588867</v>
      </c>
    </row>
    <row r="212" ht="12.0" customHeight="1">
      <c r="B212" s="108">
        <f t="shared" si="8"/>
        <v>64.8</v>
      </c>
      <c r="D212" s="259">
        <v>16.0</v>
      </c>
      <c r="E212" s="278">
        <f t="shared" si="9"/>
        <v>3.0375</v>
      </c>
      <c r="F212" s="278">
        <f>($F$188+(D212-VINMAX)*$E$281/$E$282)/D212</f>
        <v>4.05</v>
      </c>
      <c r="G212" s="278">
        <f t="shared" si="10"/>
        <v>5.0625</v>
      </c>
      <c r="I212" s="259">
        <v>16.0</v>
      </c>
      <c r="J212" s="278">
        <f t="shared" si="11"/>
        <v>3.0375</v>
      </c>
      <c r="K212" s="278">
        <f t="shared" si="12"/>
        <v>4.05</v>
      </c>
      <c r="L212" s="278">
        <f t="shared" si="13"/>
        <v>5.0625</v>
      </c>
      <c r="N212" s="259">
        <v>12.0</v>
      </c>
      <c r="O212" s="278" t="str">
        <f>O$215+((O$210-O$215)*3/7)</f>
        <v>#REF!</v>
      </c>
      <c r="R212" s="259">
        <v>16.0</v>
      </c>
      <c r="S212" s="278">
        <f t="shared" ref="S212:U212" si="29">IF($R212&gt;$F$181,0.0000000005,J212)</f>
        <v>3.0375</v>
      </c>
      <c r="T212" s="278">
        <f t="shared" si="29"/>
        <v>4.05</v>
      </c>
      <c r="U212" s="278">
        <f t="shared" si="29"/>
        <v>5.0625</v>
      </c>
      <c r="V212" s="278">
        <f t="shared" si="15"/>
        <v>36.30552063</v>
      </c>
    </row>
    <row r="213" ht="12.0" customHeight="1">
      <c r="B213" s="108">
        <f t="shared" si="8"/>
        <v>65.2</v>
      </c>
      <c r="D213" s="259">
        <v>17.0</v>
      </c>
      <c r="E213" s="278">
        <f t="shared" si="9"/>
        <v>2.876470588</v>
      </c>
      <c r="F213" s="278">
        <f>($F$188+(D213-VINMAX)*$E$281/$E$282)/D213</f>
        <v>3.835294118</v>
      </c>
      <c r="G213" s="278">
        <f t="shared" si="10"/>
        <v>4.794117647</v>
      </c>
      <c r="I213" s="259">
        <v>17.0</v>
      </c>
      <c r="J213" s="278">
        <f t="shared" si="11"/>
        <v>2.876470588</v>
      </c>
      <c r="K213" s="278">
        <f t="shared" si="12"/>
        <v>3.835294118</v>
      </c>
      <c r="L213" s="278">
        <f t="shared" si="13"/>
        <v>4.794117647</v>
      </c>
      <c r="N213" s="259">
        <v>13.0</v>
      </c>
      <c r="O213" s="278" t="str">
        <f>O$215+((O$210-O$215)*2/8)</f>
        <v>#REF!</v>
      </c>
      <c r="R213" s="259">
        <v>17.0</v>
      </c>
      <c r="S213" s="278">
        <f t="shared" ref="S213:U213" si="30">IF($R213&gt;$F$181,0.0000000005,J213)</f>
        <v>2.876470588</v>
      </c>
      <c r="T213" s="278">
        <f t="shared" si="30"/>
        <v>3.835294118</v>
      </c>
      <c r="U213" s="278">
        <f t="shared" si="30"/>
        <v>4.794117647</v>
      </c>
      <c r="V213" s="278">
        <f t="shared" si="15"/>
        <v>34.16990177</v>
      </c>
    </row>
    <row r="214" ht="12.0" customHeight="1">
      <c r="B214" s="108">
        <f t="shared" si="8"/>
        <v>65.6</v>
      </c>
      <c r="D214" s="259">
        <v>18.0</v>
      </c>
      <c r="E214" s="278">
        <f t="shared" si="9"/>
        <v>2.733333333</v>
      </c>
      <c r="F214" s="278">
        <f>($F$188+(D214-VINMAX)*$E$281/$E$282)/D214</f>
        <v>3.644444444</v>
      </c>
      <c r="G214" s="278">
        <f t="shared" si="10"/>
        <v>4.555555556</v>
      </c>
      <c r="I214" s="259">
        <v>18.0</v>
      </c>
      <c r="J214" s="278">
        <f t="shared" si="11"/>
        <v>2.733333333</v>
      </c>
      <c r="K214" s="278">
        <f t="shared" si="12"/>
        <v>3.644444444</v>
      </c>
      <c r="L214" s="278">
        <f t="shared" si="13"/>
        <v>4.555555556</v>
      </c>
      <c r="N214" s="259">
        <v>14.0</v>
      </c>
      <c r="O214" s="278" t="str">
        <f>O$215+((O$210-O$215)*1/9)</f>
        <v>#REF!</v>
      </c>
      <c r="R214" s="259">
        <v>18.0</v>
      </c>
      <c r="S214" s="278">
        <f t="shared" ref="S214:U214" si="31">IF($R214&gt;$F$181,0.0000000005,J214)</f>
        <v>2.733333333</v>
      </c>
      <c r="T214" s="278">
        <f t="shared" si="31"/>
        <v>3.644444444</v>
      </c>
      <c r="U214" s="278">
        <f t="shared" si="31"/>
        <v>4.555555556</v>
      </c>
      <c r="V214" s="278">
        <f t="shared" si="15"/>
        <v>32.27157389</v>
      </c>
    </row>
    <row r="215" ht="12.0" customHeight="1">
      <c r="B215" s="108">
        <f t="shared" si="8"/>
        <v>66</v>
      </c>
      <c r="D215" s="259">
        <v>19.0</v>
      </c>
      <c r="E215" s="278">
        <f t="shared" si="9"/>
        <v>2.605263158</v>
      </c>
      <c r="F215" s="278">
        <f>($F$188+(D215-VINMAX)*$E$281/$E$282)/D215</f>
        <v>3.473684211</v>
      </c>
      <c r="G215" s="278">
        <f t="shared" si="10"/>
        <v>4.342105263</v>
      </c>
      <c r="I215" s="259">
        <v>19.0</v>
      </c>
      <c r="J215" s="278">
        <f t="shared" si="11"/>
        <v>2.605263158</v>
      </c>
      <c r="K215" s="278">
        <f t="shared" si="12"/>
        <v>3.473684211</v>
      </c>
      <c r="L215" s="278">
        <f t="shared" si="13"/>
        <v>4.342105263</v>
      </c>
      <c r="N215" s="259">
        <v>15.0</v>
      </c>
      <c r="O215" s="278" t="str">
        <f>#REF!</f>
        <v>#REF!</v>
      </c>
      <c r="P215" s="108" t="s">
        <v>437</v>
      </c>
      <c r="R215" s="259">
        <v>19.0</v>
      </c>
      <c r="S215" s="278">
        <f t="shared" ref="S215:U215" si="32">IF($R215&gt;$F$181,0.0000000005,J215)</f>
        <v>2.605263158</v>
      </c>
      <c r="T215" s="278">
        <f t="shared" si="32"/>
        <v>3.473684211</v>
      </c>
      <c r="U215" s="278">
        <f t="shared" si="32"/>
        <v>4.342105263</v>
      </c>
      <c r="V215" s="278">
        <f t="shared" si="15"/>
        <v>30.57307</v>
      </c>
    </row>
    <row r="216" ht="12.0" customHeight="1">
      <c r="B216" s="108">
        <f t="shared" si="8"/>
        <v>66.4</v>
      </c>
      <c r="D216" s="259">
        <v>20.0</v>
      </c>
      <c r="E216" s="278">
        <f t="shared" si="9"/>
        <v>2.49</v>
      </c>
      <c r="F216" s="278">
        <f>($F$188+(D216-VINMAX)*$E$281/$E$282)/D216</f>
        <v>3.32</v>
      </c>
      <c r="G216" s="278">
        <f t="shared" si="10"/>
        <v>4.15</v>
      </c>
      <c r="I216" s="259">
        <v>20.0</v>
      </c>
      <c r="J216" s="278">
        <f t="shared" si="11"/>
        <v>2.49</v>
      </c>
      <c r="K216" s="278">
        <f t="shared" si="12"/>
        <v>3.32</v>
      </c>
      <c r="L216" s="278">
        <f t="shared" si="13"/>
        <v>4.15</v>
      </c>
      <c r="N216" s="259">
        <v>16.0</v>
      </c>
      <c r="O216" s="278" t="str">
        <f>O$220+((O$215-O$220)*4/6)</f>
        <v>#REF!</v>
      </c>
      <c r="R216" s="259">
        <v>20.0</v>
      </c>
      <c r="S216" s="278">
        <f t="shared" ref="S216:U216" si="33">IF($R216&gt;$F$181,0.0000000005,J216)</f>
        <v>2.49</v>
      </c>
      <c r="T216" s="278">
        <f t="shared" si="33"/>
        <v>3.32</v>
      </c>
      <c r="U216" s="278">
        <f t="shared" si="33"/>
        <v>4.15</v>
      </c>
      <c r="V216" s="278">
        <f t="shared" si="15"/>
        <v>29.0444165</v>
      </c>
    </row>
    <row r="217" ht="12.0" customHeight="1">
      <c r="B217" s="108">
        <f t="shared" si="8"/>
        <v>66.8</v>
      </c>
      <c r="D217" s="259">
        <v>21.0</v>
      </c>
      <c r="E217" s="278">
        <f t="shared" si="9"/>
        <v>2.385714286</v>
      </c>
      <c r="F217" s="278">
        <f>($F$188+(D217-VINMAX)*$E$281/$E$282)/D217</f>
        <v>3.180952381</v>
      </c>
      <c r="G217" s="278">
        <f t="shared" si="10"/>
        <v>3.976190476</v>
      </c>
      <c r="I217" s="259">
        <v>21.0</v>
      </c>
      <c r="J217" s="278">
        <f t="shared" si="11"/>
        <v>2.385714286</v>
      </c>
      <c r="K217" s="278">
        <f t="shared" si="12"/>
        <v>3.180952381</v>
      </c>
      <c r="L217" s="278">
        <f t="shared" si="13"/>
        <v>3.976190476</v>
      </c>
      <c r="N217" s="259">
        <v>17.0</v>
      </c>
      <c r="O217" s="278" t="str">
        <f>O$220+((O$215-O$220)*3/7)</f>
        <v>#REF!</v>
      </c>
      <c r="R217" s="259">
        <v>21.0</v>
      </c>
      <c r="S217" s="278">
        <f t="shared" ref="S217:U217" si="34">IF($R217&gt;$F$181,0.0000000005,J217)</f>
        <v>2.385714286</v>
      </c>
      <c r="T217" s="278">
        <f t="shared" si="34"/>
        <v>3.180952381</v>
      </c>
      <c r="U217" s="278">
        <f t="shared" si="34"/>
        <v>3.976190476</v>
      </c>
      <c r="V217" s="278">
        <f t="shared" si="15"/>
        <v>27.66134905</v>
      </c>
    </row>
    <row r="218" ht="12.0" customHeight="1">
      <c r="B218" s="108">
        <f t="shared" si="8"/>
        <v>67.2</v>
      </c>
      <c r="D218" s="259">
        <v>22.0</v>
      </c>
      <c r="E218" s="278">
        <f t="shared" si="9"/>
        <v>2.290909091</v>
      </c>
      <c r="F218" s="278">
        <f>($F$188+(D218-VINMAX)*$E$281/$E$282)/D218</f>
        <v>3.054545455</v>
      </c>
      <c r="G218" s="278">
        <f t="shared" si="10"/>
        <v>3.818181818</v>
      </c>
      <c r="I218" s="259">
        <v>22.0</v>
      </c>
      <c r="J218" s="278">
        <f t="shared" si="11"/>
        <v>2.290909091</v>
      </c>
      <c r="K218" s="278">
        <f t="shared" si="12"/>
        <v>3.054545455</v>
      </c>
      <c r="L218" s="278">
        <f t="shared" si="13"/>
        <v>3.818181818</v>
      </c>
      <c r="N218" s="259">
        <v>18.0</v>
      </c>
      <c r="O218" s="278" t="str">
        <f>O$220+((O$215-O$220)*2/8)</f>
        <v>#REF!</v>
      </c>
      <c r="R218" s="259">
        <v>22.0</v>
      </c>
      <c r="S218" s="278">
        <f t="shared" ref="S218:U218" si="35">IF($R218&gt;$F$181,0.0000000005,J218)</f>
        <v>2.290909091</v>
      </c>
      <c r="T218" s="278">
        <f t="shared" si="35"/>
        <v>3.054545455</v>
      </c>
      <c r="U218" s="278">
        <f t="shared" si="35"/>
        <v>3.818181818</v>
      </c>
      <c r="V218" s="278">
        <f t="shared" si="15"/>
        <v>26.404015</v>
      </c>
    </row>
    <row r="219" ht="12.0" customHeight="1">
      <c r="B219" s="108">
        <f t="shared" si="8"/>
        <v>67.6</v>
      </c>
      <c r="D219" s="259">
        <v>23.0</v>
      </c>
      <c r="E219" s="278">
        <f t="shared" si="9"/>
        <v>2.204347826</v>
      </c>
      <c r="F219" s="278">
        <f>($F$188+(D219-VINMAX)*$E$281/$E$282)/D219</f>
        <v>2.939130435</v>
      </c>
      <c r="G219" s="278">
        <f t="shared" si="10"/>
        <v>3.673913043</v>
      </c>
      <c r="I219" s="259">
        <v>23.0</v>
      </c>
      <c r="J219" s="278">
        <f t="shared" si="11"/>
        <v>2.204347826</v>
      </c>
      <c r="K219" s="278">
        <f t="shared" si="12"/>
        <v>2.939130435</v>
      </c>
      <c r="L219" s="278">
        <f t="shared" si="13"/>
        <v>3.673913043</v>
      </c>
      <c r="N219" s="259">
        <v>19.0</v>
      </c>
      <c r="O219" s="278" t="str">
        <f>O$220+((O$215-O$220)*1/9)</f>
        <v>#REF!</v>
      </c>
      <c r="R219" s="259">
        <v>23.0</v>
      </c>
      <c r="S219" s="278">
        <f t="shared" ref="S219:U219" si="36">IF($R219&gt;$F$181,0.0000000005,J219)</f>
        <v>2.204347826</v>
      </c>
      <c r="T219" s="278">
        <f t="shared" si="36"/>
        <v>2.939130435</v>
      </c>
      <c r="U219" s="278">
        <f t="shared" si="36"/>
        <v>3.673913043</v>
      </c>
      <c r="V219" s="278">
        <f t="shared" si="15"/>
        <v>25.25601435</v>
      </c>
    </row>
    <row r="220" ht="12.0" customHeight="1">
      <c r="B220" s="108">
        <f t="shared" si="8"/>
        <v>68</v>
      </c>
      <c r="D220" s="259">
        <v>24.0</v>
      </c>
      <c r="E220" s="278">
        <f t="shared" si="9"/>
        <v>2.125</v>
      </c>
      <c r="F220" s="278">
        <f>($F$188+(D220-VINMAX)*$E$281/$E$282)/D220</f>
        <v>2.833333333</v>
      </c>
      <c r="G220" s="278">
        <f t="shared" si="10"/>
        <v>3.541666667</v>
      </c>
      <c r="I220" s="259">
        <v>24.0</v>
      </c>
      <c r="J220" s="278">
        <f t="shared" si="11"/>
        <v>2.125</v>
      </c>
      <c r="K220" s="278">
        <f t="shared" si="12"/>
        <v>2.833333333</v>
      </c>
      <c r="L220" s="278">
        <f t="shared" si="13"/>
        <v>3.541666667</v>
      </c>
      <c r="N220" s="259">
        <v>20.0</v>
      </c>
      <c r="O220" s="278" t="str">
        <f>#REF!</f>
        <v>#REF!</v>
      </c>
      <c r="P220" s="108" t="s">
        <v>437</v>
      </c>
      <c r="R220" s="259">
        <v>24.0</v>
      </c>
      <c r="S220" s="278">
        <f t="shared" ref="S220:U220" si="37">IF($R220&gt;$F$181,0.0000000005,J220)</f>
        <v>2.125</v>
      </c>
      <c r="T220" s="278">
        <f t="shared" si="37"/>
        <v>2.833333333</v>
      </c>
      <c r="U220" s="278">
        <f t="shared" si="37"/>
        <v>3.541666667</v>
      </c>
      <c r="V220" s="278">
        <f t="shared" si="15"/>
        <v>24.20368042</v>
      </c>
    </row>
    <row r="221" ht="12.0" customHeight="1">
      <c r="B221" s="108">
        <f t="shared" si="8"/>
        <v>68.4</v>
      </c>
      <c r="D221" s="259">
        <v>25.0</v>
      </c>
      <c r="E221" s="278">
        <f t="shared" si="9"/>
        <v>2.052</v>
      </c>
      <c r="F221" s="278">
        <f>($F$188+(D221-VINMAX)*$E$281/$E$282)/D221</f>
        <v>2.736</v>
      </c>
      <c r="G221" s="278">
        <f t="shared" si="10"/>
        <v>3.42</v>
      </c>
      <c r="I221" s="259">
        <v>25.0</v>
      </c>
      <c r="J221" s="278">
        <f t="shared" si="11"/>
        <v>2.052</v>
      </c>
      <c r="K221" s="278">
        <f t="shared" si="12"/>
        <v>2.736</v>
      </c>
      <c r="L221" s="278">
        <f t="shared" si="13"/>
        <v>3.42</v>
      </c>
      <c r="R221" s="259">
        <v>25.0</v>
      </c>
      <c r="S221" s="278">
        <f t="shared" ref="S221:U221" si="38">IF($R221&gt;$F$181,0.0000000005,J221)</f>
        <v>2.052</v>
      </c>
      <c r="T221" s="278">
        <f t="shared" si="38"/>
        <v>2.736</v>
      </c>
      <c r="U221" s="278">
        <f t="shared" si="38"/>
        <v>3.42</v>
      </c>
      <c r="V221" s="278">
        <f t="shared" si="15"/>
        <v>23.2355332</v>
      </c>
    </row>
    <row r="222" ht="12.0" customHeight="1">
      <c r="B222" s="108">
        <f t="shared" si="8"/>
        <v>68.8</v>
      </c>
      <c r="D222" s="259">
        <v>26.0</v>
      </c>
      <c r="E222" s="278">
        <f t="shared" si="9"/>
        <v>1.984615385</v>
      </c>
      <c r="F222" s="278">
        <f>($F$188+(D222-VINMAX)*$E$281/$E$282)/D222</f>
        <v>2.646153846</v>
      </c>
      <c r="G222" s="278">
        <f t="shared" si="10"/>
        <v>3.307692308</v>
      </c>
      <c r="I222" s="259">
        <v>26.0</v>
      </c>
      <c r="J222" s="278">
        <f t="shared" si="11"/>
        <v>1.984615385</v>
      </c>
      <c r="K222" s="278">
        <f t="shared" si="12"/>
        <v>2.646153846</v>
      </c>
      <c r="L222" s="278">
        <f t="shared" si="13"/>
        <v>3.307692308</v>
      </c>
      <c r="R222" s="259">
        <v>26.0</v>
      </c>
      <c r="S222" s="278">
        <f t="shared" ref="S222:U222" si="39">IF($R222&gt;$F$181,0.0000000005,J222)</f>
        <v>1.984615385</v>
      </c>
      <c r="T222" s="278">
        <f t="shared" si="39"/>
        <v>2.646153846</v>
      </c>
      <c r="U222" s="278">
        <f t="shared" si="39"/>
        <v>3.307692308</v>
      </c>
      <c r="V222" s="278">
        <f t="shared" si="15"/>
        <v>22.34185885</v>
      </c>
    </row>
    <row r="223" ht="12.0" customHeight="1">
      <c r="B223" s="108">
        <f t="shared" si="8"/>
        <v>69.2</v>
      </c>
      <c r="D223" s="259">
        <v>27.0</v>
      </c>
      <c r="E223" s="278">
        <f t="shared" si="9"/>
        <v>1.922222222</v>
      </c>
      <c r="F223" s="278">
        <f>($F$188+(D223-VINMAX)*$E$281/$E$282)/D223</f>
        <v>2.562962963</v>
      </c>
      <c r="G223" s="278">
        <f t="shared" si="10"/>
        <v>3.203703704</v>
      </c>
      <c r="I223" s="259">
        <v>27.0</v>
      </c>
      <c r="J223" s="278">
        <f t="shared" si="11"/>
        <v>1.922222222</v>
      </c>
      <c r="K223" s="278">
        <f t="shared" si="12"/>
        <v>2.562962963</v>
      </c>
      <c r="L223" s="278">
        <f t="shared" si="13"/>
        <v>3.203703704</v>
      </c>
      <c r="R223" s="259">
        <v>27.0</v>
      </c>
      <c r="S223" s="278">
        <f t="shared" ref="S223:U223" si="40">IF($R223&gt;$F$181,0.0000000005,J223)</f>
        <v>1.922222222</v>
      </c>
      <c r="T223" s="278">
        <f t="shared" si="40"/>
        <v>2.562962963</v>
      </c>
      <c r="U223" s="278">
        <f t="shared" si="40"/>
        <v>3.203703704</v>
      </c>
      <c r="V223" s="278">
        <f t="shared" si="15"/>
        <v>21.51438259</v>
      </c>
    </row>
    <row r="224" ht="12.0" customHeight="1">
      <c r="B224" s="108">
        <f t="shared" si="8"/>
        <v>69.6</v>
      </c>
      <c r="D224" s="259">
        <v>28.0</v>
      </c>
      <c r="E224" s="278">
        <f t="shared" si="9"/>
        <v>1.864285714</v>
      </c>
      <c r="F224" s="278">
        <f>($F$188+(D224-VINMAX)*$E$281/$E$282)/D224</f>
        <v>2.485714286</v>
      </c>
      <c r="G224" s="278">
        <f t="shared" si="10"/>
        <v>3.107142857</v>
      </c>
      <c r="I224" s="259">
        <v>28.0</v>
      </c>
      <c r="J224" s="278">
        <f t="shared" si="11"/>
        <v>1.864285714</v>
      </c>
      <c r="K224" s="278">
        <f t="shared" si="12"/>
        <v>2.485714286</v>
      </c>
      <c r="L224" s="278">
        <f t="shared" si="13"/>
        <v>3.107142857</v>
      </c>
      <c r="R224" s="259">
        <v>28.0</v>
      </c>
      <c r="S224" s="278">
        <f t="shared" ref="S224:U224" si="41">IF($R224&gt;$F$181,0.0000000005,J224)</f>
        <v>1.864285714</v>
      </c>
      <c r="T224" s="278">
        <f t="shared" si="41"/>
        <v>2.485714286</v>
      </c>
      <c r="U224" s="278">
        <f t="shared" si="41"/>
        <v>3.107142857</v>
      </c>
      <c r="V224" s="278">
        <f t="shared" si="15"/>
        <v>20.74601179</v>
      </c>
    </row>
    <row r="225" ht="12.0" customHeight="1">
      <c r="B225" s="108">
        <f t="shared" si="8"/>
        <v>70</v>
      </c>
      <c r="D225" s="259">
        <v>29.0</v>
      </c>
      <c r="E225" s="278">
        <f t="shared" si="9"/>
        <v>1.810344828</v>
      </c>
      <c r="F225" s="278">
        <f>($F$188+(D225-VINMAX)*$E$281/$E$282)/D225</f>
        <v>2.413793103</v>
      </c>
      <c r="G225" s="278">
        <f t="shared" si="10"/>
        <v>3.017241379</v>
      </c>
      <c r="I225" s="259">
        <v>29.0</v>
      </c>
      <c r="J225" s="278">
        <f t="shared" si="11"/>
        <v>1.810344828</v>
      </c>
      <c r="K225" s="278">
        <f t="shared" si="12"/>
        <v>2.413793103</v>
      </c>
      <c r="L225" s="278">
        <f t="shared" si="13"/>
        <v>3.017241379</v>
      </c>
      <c r="R225" s="259">
        <v>29.0</v>
      </c>
      <c r="S225" s="278">
        <f t="shared" ref="S225:U225" si="42">IF($R225&gt;$F$181,0.0000000005,J225)</f>
        <v>1.810344828</v>
      </c>
      <c r="T225" s="278">
        <f t="shared" si="42"/>
        <v>2.413793103</v>
      </c>
      <c r="U225" s="278">
        <f t="shared" si="42"/>
        <v>3.017241379</v>
      </c>
      <c r="V225" s="278">
        <f t="shared" si="15"/>
        <v>20.03063207</v>
      </c>
    </row>
    <row r="226" ht="12.0" customHeight="1">
      <c r="B226" s="108">
        <f t="shared" si="8"/>
        <v>70.4</v>
      </c>
      <c r="D226" s="259">
        <v>30.0</v>
      </c>
      <c r="E226" s="278">
        <f t="shared" si="9"/>
        <v>1.76</v>
      </c>
      <c r="F226" s="278">
        <f>($F$188+(D226-VINMAX)*$E$281/$E$282)/D226</f>
        <v>2.346666667</v>
      </c>
      <c r="G226" s="278">
        <f t="shared" si="10"/>
        <v>2.933333333</v>
      </c>
      <c r="I226" s="259">
        <v>30.0</v>
      </c>
      <c r="J226" s="278">
        <f t="shared" si="11"/>
        <v>1.76</v>
      </c>
      <c r="K226" s="278">
        <f t="shared" si="12"/>
        <v>2.346666667</v>
      </c>
      <c r="L226" s="278">
        <f t="shared" si="13"/>
        <v>2.933333333</v>
      </c>
      <c r="R226" s="259">
        <v>30.0</v>
      </c>
      <c r="S226" s="278">
        <f t="shared" ref="S226:U226" si="43">IF($R226&gt;$F$181,0.0000000005,J226)</f>
        <v>1.76</v>
      </c>
      <c r="T226" s="278">
        <f t="shared" si="43"/>
        <v>2.346666667</v>
      </c>
      <c r="U226" s="278">
        <f t="shared" si="43"/>
        <v>2.933333333</v>
      </c>
      <c r="V226" s="278">
        <f t="shared" si="15"/>
        <v>19.36294433</v>
      </c>
    </row>
    <row r="227" ht="12.0" customHeight="1">
      <c r="B227" s="108">
        <f t="shared" si="8"/>
        <v>70.8</v>
      </c>
      <c r="D227" s="259">
        <v>31.0</v>
      </c>
      <c r="E227" s="278">
        <f t="shared" si="9"/>
        <v>1.712903226</v>
      </c>
      <c r="F227" s="278">
        <f>($F$188+(D227-VINMAX)*$E$281/$E$282)/D227</f>
        <v>2.283870968</v>
      </c>
      <c r="G227" s="278">
        <f t="shared" si="10"/>
        <v>2.85483871</v>
      </c>
      <c r="I227" s="259">
        <v>31.0</v>
      </c>
      <c r="J227" s="278">
        <f t="shared" si="11"/>
        <v>1.712903226</v>
      </c>
      <c r="K227" s="278">
        <f t="shared" si="12"/>
        <v>2.283870968</v>
      </c>
      <c r="L227" s="278">
        <f t="shared" si="13"/>
        <v>2.85483871</v>
      </c>
      <c r="R227" s="259">
        <v>31.0</v>
      </c>
      <c r="S227" s="278">
        <f t="shared" ref="S227:U227" si="44">IF($R227&gt;$F$181,0.0000000005,J227)</f>
        <v>0.0000000005</v>
      </c>
      <c r="T227" s="278">
        <f t="shared" si="44"/>
        <v>0.0000000005</v>
      </c>
      <c r="U227" s="278">
        <f t="shared" si="44"/>
        <v>0.0000000005</v>
      </c>
      <c r="V227" s="278">
        <f t="shared" si="15"/>
        <v>18.73833323</v>
      </c>
    </row>
    <row r="228" ht="12.0" customHeight="1">
      <c r="B228" s="108">
        <f t="shared" si="8"/>
        <v>71.2</v>
      </c>
      <c r="D228" s="259">
        <v>32.0</v>
      </c>
      <c r="E228" s="278">
        <f t="shared" si="9"/>
        <v>1.66875</v>
      </c>
      <c r="F228" s="278">
        <f>($F$188+(D228-VINMAX)*$E$281/$E$282)/D228</f>
        <v>2.225</v>
      </c>
      <c r="G228" s="278">
        <f t="shared" si="10"/>
        <v>2.78125</v>
      </c>
      <c r="I228" s="259">
        <v>32.0</v>
      </c>
      <c r="J228" s="278">
        <f t="shared" si="11"/>
        <v>1.66875</v>
      </c>
      <c r="K228" s="278">
        <f t="shared" si="12"/>
        <v>2.225</v>
      </c>
      <c r="L228" s="278">
        <f t="shared" si="13"/>
        <v>2.78125</v>
      </c>
      <c r="R228" s="259">
        <v>32.0</v>
      </c>
      <c r="S228" s="278">
        <f t="shared" ref="S228:U228" si="45">IF($R228&gt;$F$181,0.0000000005,J228)</f>
        <v>0.0000000005</v>
      </c>
      <c r="T228" s="278">
        <f t="shared" si="45"/>
        <v>0.0000000005</v>
      </c>
      <c r="U228" s="278">
        <f t="shared" si="45"/>
        <v>0.0000000005</v>
      </c>
      <c r="V228" s="278">
        <f t="shared" si="15"/>
        <v>18.15276031</v>
      </c>
    </row>
    <row r="229" ht="12.0" customHeight="1">
      <c r="B229" s="108">
        <f t="shared" si="8"/>
        <v>71.6</v>
      </c>
      <c r="D229" s="259">
        <v>33.0</v>
      </c>
      <c r="E229" s="278">
        <f t="shared" si="9"/>
        <v>1.627272727</v>
      </c>
      <c r="F229" s="278">
        <f>($F$188+(D229-VINMAX)*$E$281/$E$282)/D229</f>
        <v>2.16969697</v>
      </c>
      <c r="G229" s="278">
        <f t="shared" si="10"/>
        <v>2.712121212</v>
      </c>
      <c r="I229" s="259">
        <v>33.0</v>
      </c>
      <c r="J229" s="278">
        <f t="shared" si="11"/>
        <v>1.627272727</v>
      </c>
      <c r="K229" s="278">
        <f t="shared" si="12"/>
        <v>2.16969697</v>
      </c>
      <c r="L229" s="278">
        <f t="shared" si="13"/>
        <v>2.712121212</v>
      </c>
      <c r="R229" s="259">
        <v>33.0</v>
      </c>
      <c r="S229" s="278">
        <f t="shared" ref="S229:U229" si="46">IF($R229&gt;$F$181,0.0000000005,J229)</f>
        <v>0.0000000005</v>
      </c>
      <c r="T229" s="278">
        <f t="shared" si="46"/>
        <v>0.0000000005</v>
      </c>
      <c r="U229" s="278">
        <f t="shared" si="46"/>
        <v>0.0000000005</v>
      </c>
      <c r="V229" s="278">
        <f t="shared" si="15"/>
        <v>17.60267667</v>
      </c>
    </row>
    <row r="230" ht="12.0" customHeight="1">
      <c r="B230" s="108">
        <f t="shared" si="8"/>
        <v>72</v>
      </c>
      <c r="D230" s="259">
        <v>34.0</v>
      </c>
      <c r="E230" s="278">
        <f t="shared" si="9"/>
        <v>1.588235294</v>
      </c>
      <c r="F230" s="278">
        <f>($F$188+(D230-VINMAX)*$E$281/$E$282)/D230</f>
        <v>2.117647059</v>
      </c>
      <c r="G230" s="278">
        <f t="shared" si="10"/>
        <v>2.647058824</v>
      </c>
      <c r="I230" s="259">
        <v>34.0</v>
      </c>
      <c r="J230" s="278">
        <f t="shared" si="11"/>
        <v>1.588235294</v>
      </c>
      <c r="K230" s="278">
        <f t="shared" si="12"/>
        <v>2.117647059</v>
      </c>
      <c r="L230" s="278">
        <f t="shared" si="13"/>
        <v>2.647058824</v>
      </c>
      <c r="R230" s="259">
        <v>34.0</v>
      </c>
      <c r="S230" s="278">
        <f t="shared" ref="S230:U230" si="47">IF($R230&gt;$F$181,0.0000000005,J230)</f>
        <v>0.0000000005</v>
      </c>
      <c r="T230" s="278">
        <f t="shared" si="47"/>
        <v>0.0000000005</v>
      </c>
      <c r="U230" s="278">
        <f t="shared" si="47"/>
        <v>0.0000000005</v>
      </c>
      <c r="V230" s="278">
        <f t="shared" si="15"/>
        <v>17.08495088</v>
      </c>
    </row>
    <row r="231" ht="12.0" customHeight="1">
      <c r="B231" s="108">
        <f t="shared" si="8"/>
        <v>72.4</v>
      </c>
      <c r="D231" s="259">
        <v>35.0</v>
      </c>
      <c r="E231" s="278">
        <f t="shared" si="9"/>
        <v>1.551428571</v>
      </c>
      <c r="F231" s="278">
        <f>($F$188+(D231-VINMAX)*$E$281/$E$282)/D231</f>
        <v>2.068571429</v>
      </c>
      <c r="G231" s="278">
        <f t="shared" si="10"/>
        <v>2.585714286</v>
      </c>
      <c r="I231" s="259">
        <v>35.0</v>
      </c>
      <c r="J231" s="278">
        <f t="shared" si="11"/>
        <v>1.551428571</v>
      </c>
      <c r="K231" s="278">
        <f t="shared" si="12"/>
        <v>2.068571429</v>
      </c>
      <c r="L231" s="278">
        <f t="shared" si="13"/>
        <v>2.585714286</v>
      </c>
      <c r="R231" s="259">
        <v>35.0</v>
      </c>
      <c r="S231" s="278">
        <f t="shared" ref="S231:U231" si="48">IF($R231&gt;$F$181,0.0000000005,J231)</f>
        <v>0.0000000005</v>
      </c>
      <c r="T231" s="278">
        <f t="shared" si="48"/>
        <v>0.0000000005</v>
      </c>
      <c r="U231" s="278">
        <f t="shared" si="48"/>
        <v>0.0000000005</v>
      </c>
      <c r="V231" s="278">
        <f t="shared" si="15"/>
        <v>16.59680943</v>
      </c>
    </row>
    <row r="232" ht="12.0" customHeight="1">
      <c r="B232" s="108">
        <f t="shared" si="8"/>
        <v>72.8</v>
      </c>
      <c r="D232" s="259">
        <v>36.0</v>
      </c>
      <c r="E232" s="278">
        <f t="shared" si="9"/>
        <v>1.516666667</v>
      </c>
      <c r="F232" s="278">
        <f>($F$188+(D232-VINMAX)*$E$281/$E$282)/D232</f>
        <v>2.022222222</v>
      </c>
      <c r="G232" s="278">
        <f t="shared" si="10"/>
        <v>2.527777778</v>
      </c>
      <c r="I232" s="259">
        <v>36.0</v>
      </c>
      <c r="J232" s="278">
        <f t="shared" si="11"/>
        <v>1.516666667</v>
      </c>
      <c r="K232" s="278">
        <f t="shared" si="12"/>
        <v>2.022222222</v>
      </c>
      <c r="L232" s="278">
        <f t="shared" si="13"/>
        <v>2.527777778</v>
      </c>
      <c r="R232" s="259">
        <v>36.0</v>
      </c>
      <c r="S232" s="278">
        <f t="shared" ref="S232:U232" si="49">IF($R232&gt;$F$181,0.0000000005,J232)</f>
        <v>0.0000000005</v>
      </c>
      <c r="T232" s="278">
        <f t="shared" si="49"/>
        <v>0.0000000005</v>
      </c>
      <c r="U232" s="278">
        <f t="shared" si="49"/>
        <v>0.0000000005</v>
      </c>
      <c r="V232" s="278">
        <f t="shared" si="15"/>
        <v>16.13578695</v>
      </c>
    </row>
    <row r="233" ht="12.0" customHeight="1">
      <c r="B233" s="108">
        <f t="shared" si="8"/>
        <v>73.2</v>
      </c>
      <c r="D233" s="259">
        <v>37.0</v>
      </c>
      <c r="E233" s="278">
        <f t="shared" si="9"/>
        <v>1.483783784</v>
      </c>
      <c r="F233" s="278">
        <f>($F$188+(D233-VINMAX)*$E$281/$E$282)/D233</f>
        <v>1.978378378</v>
      </c>
      <c r="G233" s="278">
        <f t="shared" si="10"/>
        <v>2.472972973</v>
      </c>
      <c r="I233" s="259">
        <v>37.0</v>
      </c>
      <c r="J233" s="278">
        <f t="shared" si="11"/>
        <v>1.483783784</v>
      </c>
      <c r="K233" s="278">
        <f t="shared" si="12"/>
        <v>1.978378378</v>
      </c>
      <c r="L233" s="278">
        <f t="shared" si="13"/>
        <v>2.472972973</v>
      </c>
      <c r="R233" s="259">
        <v>37.0</v>
      </c>
      <c r="S233" s="278">
        <f t="shared" ref="S233:U233" si="50">IF($R233&gt;$F$181,0.0000000005,J233)</f>
        <v>0.0000000005</v>
      </c>
      <c r="T233" s="278">
        <f t="shared" si="50"/>
        <v>0.0000000005</v>
      </c>
      <c r="U233" s="278">
        <f t="shared" si="50"/>
        <v>0.0000000005</v>
      </c>
      <c r="V233" s="278">
        <f t="shared" si="15"/>
        <v>15.6996846</v>
      </c>
    </row>
    <row r="234" ht="12.0" customHeight="1">
      <c r="B234" s="108">
        <f t="shared" si="8"/>
        <v>73.6</v>
      </c>
      <c r="D234" s="259">
        <v>38.0</v>
      </c>
      <c r="E234" s="278">
        <f t="shared" si="9"/>
        <v>1.452631579</v>
      </c>
      <c r="F234" s="278">
        <f>($F$188+(D234-VINMAX)*$E$281/$E$282)/D234</f>
        <v>1.936842105</v>
      </c>
      <c r="G234" s="278">
        <f t="shared" si="10"/>
        <v>2.421052632</v>
      </c>
      <c r="I234" s="259">
        <v>38.0</v>
      </c>
      <c r="J234" s="278">
        <f t="shared" si="11"/>
        <v>1.452631579</v>
      </c>
      <c r="K234" s="278">
        <f t="shared" si="12"/>
        <v>1.936842105</v>
      </c>
      <c r="L234" s="278">
        <f t="shared" si="13"/>
        <v>2.421052632</v>
      </c>
      <c r="R234" s="259">
        <v>38.0</v>
      </c>
      <c r="S234" s="278">
        <f t="shared" ref="S234:U234" si="51">IF($R234&gt;$F$181,0.0000000005,J234)</f>
        <v>0.0000000005</v>
      </c>
      <c r="T234" s="278">
        <f t="shared" si="51"/>
        <v>0.0000000005</v>
      </c>
      <c r="U234" s="278">
        <f t="shared" si="51"/>
        <v>0.0000000005</v>
      </c>
      <c r="V234" s="278">
        <f t="shared" si="15"/>
        <v>15.286535</v>
      </c>
    </row>
    <row r="235" ht="12.0" customHeight="1">
      <c r="B235" s="108">
        <f t="shared" si="8"/>
        <v>74</v>
      </c>
      <c r="D235" s="259">
        <v>39.0</v>
      </c>
      <c r="E235" s="278">
        <f t="shared" si="9"/>
        <v>1.423076923</v>
      </c>
      <c r="F235" s="278">
        <f>($F$188+(D235-VINMAX)*$E$281/$E$282)/D235</f>
        <v>1.897435897</v>
      </c>
      <c r="G235" s="278">
        <f t="shared" si="10"/>
        <v>2.371794872</v>
      </c>
      <c r="I235" s="259">
        <v>39.0</v>
      </c>
      <c r="J235" s="278">
        <f t="shared" si="11"/>
        <v>1.423076923</v>
      </c>
      <c r="K235" s="278">
        <f t="shared" si="12"/>
        <v>1.897435897</v>
      </c>
      <c r="L235" s="278">
        <f t="shared" si="13"/>
        <v>2.371794872</v>
      </c>
      <c r="R235" s="259">
        <v>39.0</v>
      </c>
      <c r="S235" s="278">
        <f t="shared" ref="S235:U235" si="52">IF($R235&gt;$F$181,0.0000000005,J235)</f>
        <v>0.0000000005</v>
      </c>
      <c r="T235" s="278">
        <f t="shared" si="52"/>
        <v>0.0000000005</v>
      </c>
      <c r="U235" s="278">
        <f t="shared" si="52"/>
        <v>0.0000000005</v>
      </c>
      <c r="V235" s="278">
        <f t="shared" si="15"/>
        <v>14.89457256</v>
      </c>
    </row>
    <row r="236" ht="12.0" customHeight="1">
      <c r="B236" s="108">
        <f t="shared" si="8"/>
        <v>74.4</v>
      </c>
      <c r="D236" s="259">
        <v>40.0</v>
      </c>
      <c r="E236" s="278">
        <f t="shared" si="9"/>
        <v>1.395</v>
      </c>
      <c r="F236" s="278">
        <f>($F$188+(D236-VINMAX)*$E$281/$E$282)/D236</f>
        <v>1.86</v>
      </c>
      <c r="G236" s="278">
        <f t="shared" si="10"/>
        <v>2.325</v>
      </c>
      <c r="I236" s="259">
        <v>40.0</v>
      </c>
      <c r="J236" s="278">
        <f t="shared" si="11"/>
        <v>1.395</v>
      </c>
      <c r="K236" s="278">
        <f t="shared" si="12"/>
        <v>1.86</v>
      </c>
      <c r="L236" s="278">
        <f t="shared" si="13"/>
        <v>2.325</v>
      </c>
      <c r="R236" s="259">
        <v>40.0</v>
      </c>
      <c r="S236" s="278">
        <f t="shared" ref="S236:U236" si="53">IF($R236&gt;$F$181,0.0000000005,J236)</f>
        <v>0.0000000005</v>
      </c>
      <c r="T236" s="278">
        <f t="shared" si="53"/>
        <v>0.0000000005</v>
      </c>
      <c r="U236" s="278">
        <f t="shared" si="53"/>
        <v>0.0000000005</v>
      </c>
      <c r="V236" s="278">
        <f t="shared" si="15"/>
        <v>14.52220825</v>
      </c>
    </row>
    <row r="237" ht="12.0" customHeight="1">
      <c r="B237" s="108">
        <f t="shared" si="8"/>
        <v>74.8</v>
      </c>
      <c r="D237" s="259">
        <v>41.0</v>
      </c>
      <c r="E237" s="278">
        <f t="shared" si="9"/>
        <v>1.368292683</v>
      </c>
      <c r="F237" s="278">
        <f>($F$188+(D237-VINMAX)*$E$281/$E$282)/D237</f>
        <v>1.824390244</v>
      </c>
      <c r="G237" s="278">
        <f t="shared" si="10"/>
        <v>2.280487805</v>
      </c>
      <c r="I237" s="259">
        <v>41.0</v>
      </c>
      <c r="J237" s="278">
        <f t="shared" si="11"/>
        <v>1.368292683</v>
      </c>
      <c r="K237" s="278">
        <f t="shared" si="12"/>
        <v>1.824390244</v>
      </c>
      <c r="L237" s="278">
        <f t="shared" si="13"/>
        <v>2.280487805</v>
      </c>
      <c r="R237" s="259">
        <v>41.0</v>
      </c>
      <c r="S237" s="278">
        <f t="shared" ref="S237:U237" si="54">IF($R237&gt;$F$181,0.0000000005,J237)</f>
        <v>0.0000000005</v>
      </c>
      <c r="T237" s="278">
        <f t="shared" si="54"/>
        <v>0.0000000005</v>
      </c>
      <c r="U237" s="278">
        <f t="shared" si="54"/>
        <v>0.0000000005</v>
      </c>
      <c r="V237" s="278">
        <f t="shared" si="15"/>
        <v>14.16800805</v>
      </c>
    </row>
    <row r="238" ht="12.0" customHeight="1">
      <c r="B238" s="108">
        <f t="shared" si="8"/>
        <v>75.2</v>
      </c>
      <c r="D238" s="259">
        <v>42.0</v>
      </c>
      <c r="E238" s="278">
        <f t="shared" si="9"/>
        <v>1.342857143</v>
      </c>
      <c r="F238" s="278">
        <f>($F$188+(D238-VINMAX)*$E$281/$E$282)/D238</f>
        <v>1.79047619</v>
      </c>
      <c r="G238" s="278">
        <f t="shared" si="10"/>
        <v>2.238095238</v>
      </c>
      <c r="I238" s="259">
        <v>42.0</v>
      </c>
      <c r="J238" s="278">
        <f t="shared" si="11"/>
        <v>1.342857143</v>
      </c>
      <c r="K238" s="278">
        <f t="shared" si="12"/>
        <v>1.79047619</v>
      </c>
      <c r="L238" s="278">
        <f t="shared" si="13"/>
        <v>2.238095238</v>
      </c>
      <c r="R238" s="259">
        <v>42.0</v>
      </c>
      <c r="S238" s="278">
        <f t="shared" ref="S238:U238" si="55">IF($R238&gt;$F$181,0.0000000005,J238)</f>
        <v>0.0000000005</v>
      </c>
      <c r="T238" s="278">
        <f t="shared" si="55"/>
        <v>0.0000000005</v>
      </c>
      <c r="U238" s="278">
        <f t="shared" si="55"/>
        <v>0.0000000005</v>
      </c>
      <c r="V238" s="278">
        <f t="shared" si="15"/>
        <v>13.83067452</v>
      </c>
    </row>
    <row r="239" ht="12.0" customHeight="1">
      <c r="B239" s="108">
        <f t="shared" si="8"/>
        <v>75.6</v>
      </c>
      <c r="D239" s="259">
        <v>43.0</v>
      </c>
      <c r="E239" s="278">
        <f t="shared" si="9"/>
        <v>1.318604651</v>
      </c>
      <c r="F239" s="278">
        <f>($F$188+(D239-VINMAX)*$E$281/$E$282)/D239</f>
        <v>1.758139535</v>
      </c>
      <c r="G239" s="278">
        <f t="shared" si="10"/>
        <v>2.197674419</v>
      </c>
      <c r="I239" s="259">
        <v>43.0</v>
      </c>
      <c r="J239" s="278">
        <f t="shared" si="11"/>
        <v>1.318604651</v>
      </c>
      <c r="K239" s="278">
        <f t="shared" si="12"/>
        <v>1.758139535</v>
      </c>
      <c r="L239" s="278">
        <f t="shared" si="13"/>
        <v>2.197674419</v>
      </c>
      <c r="R239" s="259">
        <v>43.0</v>
      </c>
      <c r="S239" s="278">
        <f t="shared" ref="S239:U239" si="56">IF($R239&gt;$F$181,0.0000000005,J239)</f>
        <v>0.0000000005</v>
      </c>
      <c r="T239" s="278">
        <f t="shared" si="56"/>
        <v>0.0000000005</v>
      </c>
      <c r="U239" s="278">
        <f t="shared" si="56"/>
        <v>0.0000000005</v>
      </c>
      <c r="V239" s="278">
        <f t="shared" si="15"/>
        <v>13.50903093</v>
      </c>
    </row>
    <row r="240" ht="12.0" customHeight="1">
      <c r="B240" s="108">
        <f t="shared" si="8"/>
        <v>76</v>
      </c>
      <c r="D240" s="259">
        <v>44.0</v>
      </c>
      <c r="E240" s="278">
        <f t="shared" si="9"/>
        <v>1.295454545</v>
      </c>
      <c r="F240" s="278">
        <f>($F$188+(D240-VINMAX)*$E$281/$E$282)/D240</f>
        <v>1.727272727</v>
      </c>
      <c r="G240" s="278">
        <f t="shared" si="10"/>
        <v>2.159090909</v>
      </c>
      <c r="I240" s="259">
        <v>44.0</v>
      </c>
      <c r="J240" s="278">
        <f t="shared" si="11"/>
        <v>1.295454545</v>
      </c>
      <c r="K240" s="278">
        <f t="shared" si="12"/>
        <v>1.727272727</v>
      </c>
      <c r="L240" s="278">
        <f t="shared" si="13"/>
        <v>2.159090909</v>
      </c>
      <c r="R240" s="259">
        <v>44.0</v>
      </c>
      <c r="S240" s="278">
        <f t="shared" ref="S240:U240" si="57">IF($R240&gt;$F$181,0.0000000005,J240)</f>
        <v>0.0000000005</v>
      </c>
      <c r="T240" s="278">
        <f t="shared" si="57"/>
        <v>0.0000000005</v>
      </c>
      <c r="U240" s="278">
        <f t="shared" si="57"/>
        <v>0.0000000005</v>
      </c>
      <c r="V240" s="278">
        <f t="shared" si="15"/>
        <v>13.2020075</v>
      </c>
    </row>
    <row r="241" ht="12.0" customHeight="1">
      <c r="B241" s="108">
        <f t="shared" si="8"/>
        <v>76.4</v>
      </c>
      <c r="D241" s="259">
        <v>45.0</v>
      </c>
      <c r="E241" s="278">
        <f t="shared" si="9"/>
        <v>1.273333333</v>
      </c>
      <c r="F241" s="278">
        <f>($F$188+(D241-VINMAX)*$E$281/$E$282)/D241</f>
        <v>1.697777778</v>
      </c>
      <c r="G241" s="278">
        <f t="shared" si="10"/>
        <v>2.122222222</v>
      </c>
      <c r="I241" s="259">
        <v>45.0</v>
      </c>
      <c r="J241" s="278">
        <f t="shared" si="11"/>
        <v>1.273333333</v>
      </c>
      <c r="K241" s="278">
        <f t="shared" si="12"/>
        <v>1.697777778</v>
      </c>
      <c r="L241" s="278">
        <f t="shared" si="13"/>
        <v>2.122222222</v>
      </c>
      <c r="R241" s="259">
        <v>45.0</v>
      </c>
      <c r="S241" s="278">
        <f t="shared" ref="S241:U241" si="58">IF($R241&gt;$F$181,0.0000000005,J241)</f>
        <v>0.0000000005</v>
      </c>
      <c r="T241" s="278">
        <f t="shared" si="58"/>
        <v>0.0000000005</v>
      </c>
      <c r="U241" s="278">
        <f t="shared" si="58"/>
        <v>0.0000000005</v>
      </c>
      <c r="V241" s="278">
        <f t="shared" si="15"/>
        <v>12.90862956</v>
      </c>
    </row>
    <row r="242" ht="12.0" customHeight="1">
      <c r="B242" s="108">
        <f t="shared" si="8"/>
        <v>76.8</v>
      </c>
      <c r="D242" s="259">
        <v>46.0</v>
      </c>
      <c r="E242" s="278">
        <f t="shared" si="9"/>
        <v>1.252173913</v>
      </c>
      <c r="F242" s="278">
        <f>($F$188+(D242-VINMAX)*$E$281/$E$282)/D242</f>
        <v>1.669565217</v>
      </c>
      <c r="G242" s="278">
        <f t="shared" si="10"/>
        <v>2.086956522</v>
      </c>
      <c r="I242" s="259">
        <v>46.0</v>
      </c>
      <c r="J242" s="278">
        <f t="shared" si="11"/>
        <v>1.252173913</v>
      </c>
      <c r="K242" s="278">
        <f t="shared" si="12"/>
        <v>1.669565217</v>
      </c>
      <c r="L242" s="278">
        <f t="shared" si="13"/>
        <v>2.086956522</v>
      </c>
      <c r="R242" s="259">
        <v>46.0</v>
      </c>
      <c r="S242" s="278">
        <f t="shared" ref="S242:U242" si="59">IF($R242&gt;$F$181,0.0000000005,J242)</f>
        <v>0.0000000005</v>
      </c>
      <c r="T242" s="278">
        <f t="shared" si="59"/>
        <v>0.0000000005</v>
      </c>
      <c r="U242" s="278">
        <f t="shared" si="59"/>
        <v>0.0000000005</v>
      </c>
      <c r="V242" s="278">
        <f t="shared" si="15"/>
        <v>12.62800717</v>
      </c>
    </row>
    <row r="243" ht="12.0" customHeight="1">
      <c r="B243" s="108">
        <f t="shared" si="8"/>
        <v>77.2</v>
      </c>
      <c r="D243" s="259">
        <v>47.0</v>
      </c>
      <c r="E243" s="278">
        <f t="shared" si="9"/>
        <v>1.231914894</v>
      </c>
      <c r="F243" s="278">
        <f>($F$188+(D243-VINMAX)*$E$281/$E$282)/D243</f>
        <v>1.642553191</v>
      </c>
      <c r="G243" s="278">
        <f t="shared" si="10"/>
        <v>2.053191489</v>
      </c>
      <c r="I243" s="259">
        <v>47.0</v>
      </c>
      <c r="J243" s="278">
        <f t="shared" si="11"/>
        <v>1.231914894</v>
      </c>
      <c r="K243" s="278">
        <f t="shared" si="12"/>
        <v>1.642553191</v>
      </c>
      <c r="L243" s="278">
        <f t="shared" si="13"/>
        <v>2.053191489</v>
      </c>
      <c r="R243" s="259">
        <v>47.0</v>
      </c>
      <c r="S243" s="278">
        <f t="shared" ref="S243:U243" si="60">IF($R243&gt;$F$181,0.0000000005,J243)</f>
        <v>0.0000000005</v>
      </c>
      <c r="T243" s="278">
        <f t="shared" si="60"/>
        <v>0.0000000005</v>
      </c>
      <c r="U243" s="278">
        <f t="shared" si="60"/>
        <v>0.0000000005</v>
      </c>
      <c r="V243" s="278">
        <f t="shared" si="15"/>
        <v>12.35932617</v>
      </c>
    </row>
    <row r="244" ht="12.0" customHeight="1">
      <c r="B244" s="108">
        <f t="shared" si="8"/>
        <v>77.6</v>
      </c>
      <c r="D244" s="259">
        <v>48.0</v>
      </c>
      <c r="E244" s="278">
        <f t="shared" si="9"/>
        <v>1.2125</v>
      </c>
      <c r="F244" s="278">
        <f>($F$188+(D244-VINMAX)*$E$281/$E$282)/D244</f>
        <v>1.616666667</v>
      </c>
      <c r="G244" s="278">
        <f t="shared" si="10"/>
        <v>2.020833333</v>
      </c>
      <c r="I244" s="259">
        <v>48.0</v>
      </c>
      <c r="J244" s="278">
        <f t="shared" si="11"/>
        <v>1.2125</v>
      </c>
      <c r="K244" s="278">
        <f t="shared" si="12"/>
        <v>1.616666667</v>
      </c>
      <c r="L244" s="278">
        <f t="shared" si="13"/>
        <v>2.020833333</v>
      </c>
      <c r="R244" s="259">
        <v>48.0</v>
      </c>
      <c r="S244" s="278">
        <f t="shared" ref="S244:U244" si="61">IF($R244&gt;$F$181,0.0000000005,J244)</f>
        <v>0.0000000005</v>
      </c>
      <c r="T244" s="278">
        <f t="shared" si="61"/>
        <v>0.0000000005</v>
      </c>
      <c r="U244" s="278">
        <f t="shared" si="61"/>
        <v>0.0000000005</v>
      </c>
      <c r="V244" s="278">
        <f t="shared" si="15"/>
        <v>12.10184021</v>
      </c>
    </row>
    <row r="245" ht="12.0" customHeight="1">
      <c r="B245" s="108">
        <f t="shared" si="8"/>
        <v>78</v>
      </c>
      <c r="D245" s="259">
        <v>49.0</v>
      </c>
      <c r="E245" s="278">
        <f t="shared" si="9"/>
        <v>1.193877551</v>
      </c>
      <c r="F245" s="278">
        <f>($F$188+(D245-VINMAX)*$E$281/$E$282)/D245</f>
        <v>1.591836735</v>
      </c>
      <c r="G245" s="278">
        <f t="shared" si="10"/>
        <v>1.989795918</v>
      </c>
      <c r="I245" s="259">
        <v>49.0</v>
      </c>
      <c r="J245" s="278">
        <f t="shared" si="11"/>
        <v>1.193877551</v>
      </c>
      <c r="K245" s="278">
        <f t="shared" si="12"/>
        <v>1.591836735</v>
      </c>
      <c r="L245" s="278">
        <f t="shared" si="13"/>
        <v>1.989795918</v>
      </c>
      <c r="R245" s="259">
        <v>49.0</v>
      </c>
      <c r="S245" s="278">
        <f t="shared" ref="S245:U245" si="62">IF($R245&gt;$F$181,0.0000000005,J245)</f>
        <v>0.0000000005</v>
      </c>
      <c r="T245" s="278">
        <f t="shared" si="62"/>
        <v>0.0000000005</v>
      </c>
      <c r="U245" s="278">
        <f t="shared" si="62"/>
        <v>0.0000000005</v>
      </c>
      <c r="V245" s="278">
        <f t="shared" si="15"/>
        <v>11.85486388</v>
      </c>
    </row>
    <row r="246" ht="12.0" customHeight="1">
      <c r="B246" s="108">
        <f t="shared" si="8"/>
        <v>78.4</v>
      </c>
      <c r="D246" s="259">
        <v>50.0</v>
      </c>
      <c r="E246" s="278">
        <f t="shared" si="9"/>
        <v>1.176</v>
      </c>
      <c r="F246" s="278">
        <f>($F$188+(D246-VINMAX)*$E$281/$E$282)/D246</f>
        <v>1.568</v>
      </c>
      <c r="G246" s="278">
        <f t="shared" si="10"/>
        <v>1.96</v>
      </c>
      <c r="I246" s="259">
        <v>50.0</v>
      </c>
      <c r="J246" s="278">
        <f t="shared" si="11"/>
        <v>1.176</v>
      </c>
      <c r="K246" s="278">
        <f t="shared" si="12"/>
        <v>1.568</v>
      </c>
      <c r="L246" s="278">
        <f t="shared" si="13"/>
        <v>1.96</v>
      </c>
      <c r="R246" s="259">
        <v>50.0</v>
      </c>
      <c r="S246" s="278">
        <f t="shared" ref="S246:U246" si="63">IF($R246&gt;$F$181,0.0000000005,J246)</f>
        <v>0.0000000005</v>
      </c>
      <c r="T246" s="278">
        <f t="shared" si="63"/>
        <v>0.0000000005</v>
      </c>
      <c r="U246" s="278">
        <f t="shared" si="63"/>
        <v>0.0000000005</v>
      </c>
      <c r="V246" s="278">
        <f t="shared" si="15"/>
        <v>11.6177666</v>
      </c>
    </row>
    <row r="247" ht="12.0" customHeight="1">
      <c r="B247" s="108">
        <f t="shared" si="8"/>
        <v>78.8</v>
      </c>
      <c r="D247" s="259">
        <v>51.0</v>
      </c>
      <c r="E247" s="278">
        <f t="shared" si="9"/>
        <v>1.158823529</v>
      </c>
      <c r="F247" s="278">
        <f>($F$188+(D247-VINMAX)*$E$281/$E$282)/D247</f>
        <v>1.545098039</v>
      </c>
      <c r="G247" s="278">
        <f t="shared" si="10"/>
        <v>1.931372549</v>
      </c>
      <c r="I247" s="259">
        <v>51.0</v>
      </c>
      <c r="J247" s="278">
        <f t="shared" si="11"/>
        <v>1.158823529</v>
      </c>
      <c r="K247" s="278">
        <f t="shared" si="12"/>
        <v>1.545098039</v>
      </c>
      <c r="L247" s="278">
        <f t="shared" si="13"/>
        <v>1.931372549</v>
      </c>
      <c r="R247" s="259">
        <v>51.0</v>
      </c>
      <c r="S247" s="278">
        <f t="shared" ref="S247:U247" si="64">IF($R247&gt;$F$181,0.0000000005,J247)</f>
        <v>0.0000000005</v>
      </c>
      <c r="T247" s="278">
        <f t="shared" si="64"/>
        <v>0.0000000005</v>
      </c>
      <c r="U247" s="278">
        <f t="shared" si="64"/>
        <v>0.0000000005</v>
      </c>
      <c r="V247" s="278">
        <f t="shared" si="15"/>
        <v>11.38996726</v>
      </c>
    </row>
    <row r="248" ht="12.0" customHeight="1">
      <c r="B248" s="108">
        <f t="shared" si="8"/>
        <v>79.2</v>
      </c>
      <c r="D248" s="259">
        <v>52.0</v>
      </c>
      <c r="E248" s="278">
        <f t="shared" si="9"/>
        <v>1.142307692</v>
      </c>
      <c r="F248" s="278">
        <f>($F$188+(D248-VINMAX)*$E$281/$E$282)/D248</f>
        <v>1.523076923</v>
      </c>
      <c r="G248" s="278">
        <f t="shared" si="10"/>
        <v>1.903846154</v>
      </c>
      <c r="I248" s="259">
        <v>52.0</v>
      </c>
      <c r="J248" s="278">
        <f t="shared" si="11"/>
        <v>1.142307692</v>
      </c>
      <c r="K248" s="278">
        <f t="shared" si="12"/>
        <v>1.523076923</v>
      </c>
      <c r="L248" s="278">
        <f t="shared" si="13"/>
        <v>1.903846154</v>
      </c>
      <c r="R248" s="259">
        <v>52.0</v>
      </c>
      <c r="S248" s="278">
        <f t="shared" ref="S248:U248" si="65">IF($R248&gt;$F$181,0.0000000005,J248)</f>
        <v>0.0000000005</v>
      </c>
      <c r="T248" s="278">
        <f t="shared" si="65"/>
        <v>0.0000000005</v>
      </c>
      <c r="U248" s="278">
        <f t="shared" si="65"/>
        <v>0.0000000005</v>
      </c>
      <c r="V248" s="278">
        <f t="shared" si="15"/>
        <v>11.17092942</v>
      </c>
    </row>
    <row r="249" ht="12.0" customHeight="1">
      <c r="B249" s="108">
        <f t="shared" si="8"/>
        <v>79.6</v>
      </c>
      <c r="D249" s="259">
        <v>53.0</v>
      </c>
      <c r="E249" s="278">
        <f t="shared" si="9"/>
        <v>1.126415094</v>
      </c>
      <c r="F249" s="278">
        <f>($F$188+(D249-VINMAX)*$E$281/$E$282)/D249</f>
        <v>1.501886792</v>
      </c>
      <c r="G249" s="278">
        <f t="shared" si="10"/>
        <v>1.877358491</v>
      </c>
      <c r="I249" s="259">
        <v>53.0</v>
      </c>
      <c r="J249" s="278">
        <f t="shared" si="11"/>
        <v>1.126415094</v>
      </c>
      <c r="K249" s="278">
        <f t="shared" si="12"/>
        <v>1.501886792</v>
      </c>
      <c r="L249" s="278">
        <f t="shared" si="13"/>
        <v>1.877358491</v>
      </c>
      <c r="R249" s="259">
        <v>53.0</v>
      </c>
      <c r="S249" s="278">
        <f t="shared" ref="S249:U249" si="66">IF($R249&gt;$F$181,0.0000000005,J249)</f>
        <v>0.0000000005</v>
      </c>
      <c r="T249" s="278">
        <f t="shared" si="66"/>
        <v>0.0000000005</v>
      </c>
      <c r="U249" s="278">
        <f t="shared" si="66"/>
        <v>0.0000000005</v>
      </c>
      <c r="V249" s="278">
        <f t="shared" si="15"/>
        <v>10.96015717</v>
      </c>
    </row>
    <row r="250" ht="12.0" customHeight="1">
      <c r="B250" s="108">
        <f t="shared" si="8"/>
        <v>80</v>
      </c>
      <c r="D250" s="259">
        <v>54.0</v>
      </c>
      <c r="E250" s="278">
        <f t="shared" si="9"/>
        <v>1.111111111</v>
      </c>
      <c r="F250" s="278">
        <f>($F$188+(D250-VINMAX)*$E$281/$E$282)/D250</f>
        <v>1.481481481</v>
      </c>
      <c r="G250" s="278">
        <f t="shared" si="10"/>
        <v>1.851851852</v>
      </c>
      <c r="I250" s="259">
        <v>54.0</v>
      </c>
      <c r="J250" s="278">
        <f t="shared" si="11"/>
        <v>1.111111111</v>
      </c>
      <c r="K250" s="278">
        <f t="shared" si="12"/>
        <v>1.481481481</v>
      </c>
      <c r="L250" s="278">
        <f t="shared" si="13"/>
        <v>1.851851852</v>
      </c>
      <c r="R250" s="259">
        <v>54.0</v>
      </c>
      <c r="S250" s="278">
        <f t="shared" ref="S250:U250" si="67">IF($R250&gt;$F$181,0.0000000005,J250)</f>
        <v>0.0000000005</v>
      </c>
      <c r="T250" s="278">
        <f t="shared" si="67"/>
        <v>0.0000000005</v>
      </c>
      <c r="U250" s="278">
        <f t="shared" si="67"/>
        <v>0.0000000005</v>
      </c>
      <c r="V250" s="278">
        <f t="shared" si="15"/>
        <v>10.7571913</v>
      </c>
    </row>
    <row r="251" ht="12.0" customHeight="1">
      <c r="B251" s="108">
        <f t="shared" si="8"/>
        <v>80.4</v>
      </c>
      <c r="D251" s="259">
        <v>55.0</v>
      </c>
      <c r="E251" s="278">
        <f t="shared" si="9"/>
        <v>1.096363636</v>
      </c>
      <c r="F251" s="278">
        <f>($F$188+(D251-VINMAX)*$E$281/$E$282)/D251</f>
        <v>1.461818182</v>
      </c>
      <c r="G251" s="278">
        <f t="shared" si="10"/>
        <v>1.827272727</v>
      </c>
      <c r="I251" s="259">
        <v>55.0</v>
      </c>
      <c r="J251" s="278">
        <f t="shared" si="11"/>
        <v>1.096363636</v>
      </c>
      <c r="K251" s="278">
        <f t="shared" si="12"/>
        <v>1.461818182</v>
      </c>
      <c r="L251" s="278">
        <f t="shared" si="13"/>
        <v>1.827272727</v>
      </c>
      <c r="R251" s="259">
        <v>55.0</v>
      </c>
      <c r="S251" s="278">
        <f t="shared" ref="S251:U251" si="68">IF($R251&gt;$F$181,0.0000000005,J251)</f>
        <v>0.0000000005</v>
      </c>
      <c r="T251" s="278">
        <f t="shared" si="68"/>
        <v>0.0000000005</v>
      </c>
      <c r="U251" s="278">
        <f t="shared" si="68"/>
        <v>0.0000000005</v>
      </c>
      <c r="V251" s="278">
        <f t="shared" si="15"/>
        <v>10.561606</v>
      </c>
    </row>
    <row r="252" ht="12.0" customHeight="1">
      <c r="B252" s="108">
        <f t="shared" si="8"/>
        <v>80.8</v>
      </c>
      <c r="D252" s="259">
        <v>56.0</v>
      </c>
      <c r="E252" s="278">
        <f t="shared" si="9"/>
        <v>1.082142857</v>
      </c>
      <c r="F252" s="278">
        <f>($F$188+(D252-VINMAX)*$E$281/$E$282)/D252</f>
        <v>1.442857143</v>
      </c>
      <c r="G252" s="278">
        <f t="shared" si="10"/>
        <v>1.803571429</v>
      </c>
      <c r="I252" s="259">
        <v>56.0</v>
      </c>
      <c r="J252" s="278">
        <f t="shared" si="11"/>
        <v>1.082142857</v>
      </c>
      <c r="K252" s="278">
        <f t="shared" si="12"/>
        <v>1.442857143</v>
      </c>
      <c r="L252" s="278">
        <f t="shared" si="13"/>
        <v>1.803571429</v>
      </c>
      <c r="R252" s="259">
        <v>56.0</v>
      </c>
      <c r="S252" s="278">
        <f t="shared" ref="S252:U252" si="69">IF($R252&gt;$F$181,0.0000000005,J252)</f>
        <v>0.0000000005</v>
      </c>
      <c r="T252" s="278">
        <f t="shared" si="69"/>
        <v>0.0000000005</v>
      </c>
      <c r="U252" s="278">
        <f t="shared" si="69"/>
        <v>0.0000000005</v>
      </c>
      <c r="V252" s="278">
        <f t="shared" si="15"/>
        <v>10.37300589</v>
      </c>
    </row>
    <row r="253" ht="12.0" customHeight="1">
      <c r="B253" s="108">
        <f t="shared" si="8"/>
        <v>81.2</v>
      </c>
      <c r="D253" s="259">
        <v>57.0</v>
      </c>
      <c r="E253" s="278">
        <f t="shared" si="9"/>
        <v>1.068421053</v>
      </c>
      <c r="F253" s="278">
        <f>($F$188+(D253-VINMAX)*$E$281/$E$282)/D253</f>
        <v>1.424561404</v>
      </c>
      <c r="G253" s="278">
        <f t="shared" si="10"/>
        <v>1.780701754</v>
      </c>
      <c r="I253" s="259">
        <v>57.0</v>
      </c>
      <c r="J253" s="278">
        <f t="shared" si="11"/>
        <v>1.068421053</v>
      </c>
      <c r="K253" s="278">
        <f t="shared" si="12"/>
        <v>1.424561404</v>
      </c>
      <c r="L253" s="278">
        <f t="shared" si="13"/>
        <v>1.780701754</v>
      </c>
      <c r="R253" s="259">
        <v>57.0</v>
      </c>
      <c r="S253" s="278">
        <f t="shared" ref="S253:U253" si="70">IF($R253&gt;$F$181,0.0000000005,J253)</f>
        <v>0.0000000005</v>
      </c>
      <c r="T253" s="278">
        <f t="shared" si="70"/>
        <v>0.0000000005</v>
      </c>
      <c r="U253" s="278">
        <f t="shared" si="70"/>
        <v>0.0000000005</v>
      </c>
      <c r="V253" s="278">
        <f t="shared" si="15"/>
        <v>10.19102333</v>
      </c>
    </row>
    <row r="254" ht="12.0" customHeight="1">
      <c r="B254" s="108">
        <f t="shared" si="8"/>
        <v>81.6</v>
      </c>
      <c r="D254" s="259">
        <v>58.0</v>
      </c>
      <c r="E254" s="278">
        <f t="shared" si="9"/>
        <v>1.055172414</v>
      </c>
      <c r="F254" s="278">
        <f>($F$188+(D254-VINMAX)*$E$281/$E$282)/D254</f>
        <v>1.406896552</v>
      </c>
      <c r="G254" s="278">
        <f t="shared" si="10"/>
        <v>1.75862069</v>
      </c>
      <c r="I254" s="259">
        <v>58.0</v>
      </c>
      <c r="J254" s="278">
        <f t="shared" si="11"/>
        <v>1.055172414</v>
      </c>
      <c r="K254" s="278">
        <f t="shared" si="12"/>
        <v>1.406896552</v>
      </c>
      <c r="L254" s="278">
        <f t="shared" si="13"/>
        <v>1.75862069</v>
      </c>
      <c r="R254" s="259">
        <v>58.0</v>
      </c>
      <c r="S254" s="278">
        <f t="shared" ref="S254:U254" si="71">IF($R254&gt;$F$181,0.0000000005,J254)</f>
        <v>0.0000000005</v>
      </c>
      <c r="T254" s="278">
        <f t="shared" si="71"/>
        <v>0.0000000005</v>
      </c>
      <c r="U254" s="278">
        <f t="shared" si="71"/>
        <v>0.0000000005</v>
      </c>
      <c r="V254" s="278">
        <f t="shared" si="15"/>
        <v>10.01531603</v>
      </c>
    </row>
    <row r="255" ht="12.0" customHeight="1">
      <c r="B255" s="108">
        <f t="shared" si="8"/>
        <v>82</v>
      </c>
      <c r="D255" s="259">
        <v>59.0</v>
      </c>
      <c r="E255" s="278">
        <f t="shared" si="9"/>
        <v>1.042372881</v>
      </c>
      <c r="F255" s="278">
        <f>($F$188+(D255-VINMAX)*$E$281/$E$282)/D255</f>
        <v>1.389830508</v>
      </c>
      <c r="G255" s="278">
        <f t="shared" si="10"/>
        <v>1.737288136</v>
      </c>
      <c r="I255" s="259">
        <v>59.0</v>
      </c>
      <c r="J255" s="278">
        <f t="shared" si="11"/>
        <v>1.042372881</v>
      </c>
      <c r="K255" s="278">
        <f t="shared" si="12"/>
        <v>1.389830508</v>
      </c>
      <c r="L255" s="278">
        <f t="shared" si="13"/>
        <v>1.737288136</v>
      </c>
      <c r="R255" s="259">
        <v>59.0</v>
      </c>
      <c r="S255" s="278">
        <f t="shared" ref="S255:U255" si="72">IF($R255&gt;$F$181,0.0000000005,J255)</f>
        <v>0.0000000005</v>
      </c>
      <c r="T255" s="278">
        <f t="shared" si="72"/>
        <v>0.0000000005</v>
      </c>
      <c r="U255" s="278">
        <f t="shared" si="72"/>
        <v>0.0000000005</v>
      </c>
      <c r="V255" s="278">
        <f t="shared" si="15"/>
        <v>9.845564916</v>
      </c>
    </row>
    <row r="256" ht="12.0" customHeight="1">
      <c r="B256" s="108">
        <f t="shared" si="8"/>
        <v>82.4</v>
      </c>
      <c r="D256" s="259">
        <v>60.0</v>
      </c>
      <c r="E256" s="278">
        <f t="shared" si="9"/>
        <v>1.03</v>
      </c>
      <c r="F256" s="278">
        <f>($F$188+(D256-VINMAX)*$E$281/$E$282)/D256</f>
        <v>1.373333333</v>
      </c>
      <c r="G256" s="278">
        <f t="shared" si="10"/>
        <v>1.716666667</v>
      </c>
      <c r="I256" s="259">
        <v>60.0</v>
      </c>
      <c r="J256" s="278">
        <f t="shared" si="11"/>
        <v>1.03</v>
      </c>
      <c r="K256" s="278">
        <f t="shared" si="12"/>
        <v>1.373333333</v>
      </c>
      <c r="L256" s="278">
        <f t="shared" si="13"/>
        <v>1.716666667</v>
      </c>
      <c r="R256" s="259">
        <v>60.0</v>
      </c>
      <c r="S256" s="278">
        <f t="shared" ref="S256:U256" si="73">IF($R256&gt;$F$181,0.0000000005,J256)</f>
        <v>0.0000000005</v>
      </c>
      <c r="T256" s="278">
        <f t="shared" si="73"/>
        <v>0.0000000005</v>
      </c>
      <c r="U256" s="278">
        <f t="shared" si="73"/>
        <v>0.0000000005</v>
      </c>
      <c r="V256" s="278">
        <f t="shared" si="15"/>
        <v>9.681472167</v>
      </c>
    </row>
    <row r="257" ht="12.0" customHeight="1">
      <c r="B257" s="108">
        <f t="shared" si="8"/>
        <v>82.8</v>
      </c>
      <c r="D257" s="259">
        <v>61.0</v>
      </c>
      <c r="E257" s="278">
        <f t="shared" si="9"/>
        <v>1.018032787</v>
      </c>
      <c r="F257" s="278">
        <f>($F$188+(D257-VINMAX)*$E$281/$E$282)/D257</f>
        <v>1.357377049</v>
      </c>
      <c r="G257" s="278">
        <f t="shared" si="10"/>
        <v>1.696721311</v>
      </c>
      <c r="I257" s="259">
        <v>61.0</v>
      </c>
      <c r="J257" s="278">
        <f t="shared" si="11"/>
        <v>1.018032787</v>
      </c>
      <c r="K257" s="278">
        <f t="shared" si="12"/>
        <v>1.357377049</v>
      </c>
      <c r="L257" s="278">
        <f t="shared" si="13"/>
        <v>1.696721311</v>
      </c>
      <c r="R257" s="259">
        <v>61.0</v>
      </c>
      <c r="S257" s="278">
        <f t="shared" ref="S257:U257" si="74">IF($R257&gt;$F$181,0.0000000005,J257)</f>
        <v>0.0000000005</v>
      </c>
      <c r="T257" s="278">
        <f t="shared" si="74"/>
        <v>0.0000000005</v>
      </c>
      <c r="U257" s="278">
        <f t="shared" si="74"/>
        <v>0.0000000005</v>
      </c>
      <c r="V257" s="278">
        <f t="shared" si="15"/>
        <v>9.522759509</v>
      </c>
    </row>
    <row r="258" ht="12.0" customHeight="1">
      <c r="B258" s="108">
        <f t="shared" si="8"/>
        <v>83.2</v>
      </c>
      <c r="D258" s="259">
        <v>62.0</v>
      </c>
      <c r="E258" s="278">
        <f t="shared" si="9"/>
        <v>1.006451613</v>
      </c>
      <c r="F258" s="278">
        <f>($F$188+(D258-VINMAX)*$E$281/$E$282)/D258</f>
        <v>1.341935484</v>
      </c>
      <c r="G258" s="278">
        <f t="shared" si="10"/>
        <v>1.677419355</v>
      </c>
      <c r="I258" s="259">
        <v>62.0</v>
      </c>
      <c r="J258" s="278">
        <f t="shared" si="11"/>
        <v>1.006451613</v>
      </c>
      <c r="K258" s="278">
        <f t="shared" si="12"/>
        <v>1.341935484</v>
      </c>
      <c r="L258" s="278">
        <f t="shared" si="13"/>
        <v>1.677419355</v>
      </c>
      <c r="R258" s="259">
        <v>62.0</v>
      </c>
      <c r="S258" s="278">
        <f t="shared" ref="S258:U258" si="75">IF($R258&gt;$F$181,0.0000000005,J258)</f>
        <v>0.0000000005</v>
      </c>
      <c r="T258" s="278">
        <f t="shared" si="75"/>
        <v>0.0000000005</v>
      </c>
      <c r="U258" s="278">
        <f t="shared" si="75"/>
        <v>0.0000000005</v>
      </c>
      <c r="V258" s="278">
        <f t="shared" si="15"/>
        <v>9.369166613</v>
      </c>
    </row>
    <row r="259" ht="12.0" customHeight="1">
      <c r="B259" s="108">
        <f t="shared" si="8"/>
        <v>83.6</v>
      </c>
      <c r="D259" s="259">
        <v>63.0</v>
      </c>
      <c r="E259" s="278">
        <f t="shared" si="9"/>
        <v>0.9952380952</v>
      </c>
      <c r="F259" s="278">
        <f>($F$188+(D259-VINMAX)*$E$281/$E$282)/D259</f>
        <v>1.326984127</v>
      </c>
      <c r="G259" s="278">
        <f t="shared" si="10"/>
        <v>1.658730159</v>
      </c>
      <c r="I259" s="259">
        <v>63.0</v>
      </c>
      <c r="J259" s="278">
        <f t="shared" si="11"/>
        <v>0.9952380952</v>
      </c>
      <c r="K259" s="278">
        <f t="shared" si="12"/>
        <v>1.326984127</v>
      </c>
      <c r="L259" s="278">
        <f t="shared" si="13"/>
        <v>1.658730159</v>
      </c>
      <c r="R259" s="259">
        <v>63.0</v>
      </c>
      <c r="S259" s="278">
        <f t="shared" ref="S259:U259" si="76">IF($R259&gt;$F$181,0.0000000005,J259)</f>
        <v>0.0000000005</v>
      </c>
      <c r="T259" s="278">
        <f t="shared" si="76"/>
        <v>0.0000000005</v>
      </c>
      <c r="U259" s="278">
        <f t="shared" si="76"/>
        <v>0.0000000005</v>
      </c>
      <c r="V259" s="278">
        <f t="shared" si="15"/>
        <v>9.220449683</v>
      </c>
    </row>
    <row r="260" ht="12.0" customHeight="1">
      <c r="B260" s="108">
        <f t="shared" si="8"/>
        <v>84</v>
      </c>
      <c r="D260" s="259">
        <v>64.0</v>
      </c>
      <c r="E260" s="278">
        <f t="shared" si="9"/>
        <v>0.984375</v>
      </c>
      <c r="F260" s="278">
        <f>($F$188+(D260-VINMAX)*$E$281/$E$282)/D260</f>
        <v>1.3125</v>
      </c>
      <c r="G260" s="278">
        <f t="shared" si="10"/>
        <v>1.640625</v>
      </c>
      <c r="I260" s="259">
        <v>64.0</v>
      </c>
      <c r="J260" s="278">
        <f t="shared" si="11"/>
        <v>0.984375</v>
      </c>
      <c r="K260" s="278">
        <f t="shared" si="12"/>
        <v>1.3125</v>
      </c>
      <c r="L260" s="278">
        <f t="shared" si="13"/>
        <v>1.640625</v>
      </c>
      <c r="R260" s="259">
        <v>64.0</v>
      </c>
      <c r="S260" s="278">
        <f t="shared" ref="S260:U260" si="77">IF($R260&gt;$F$181,0.0000000005,J260)</f>
        <v>0.0000000005</v>
      </c>
      <c r="T260" s="278">
        <f t="shared" si="77"/>
        <v>0.0000000005</v>
      </c>
      <c r="U260" s="278">
        <f t="shared" si="77"/>
        <v>0.0000000005</v>
      </c>
      <c r="V260" s="278">
        <f t="shared" si="15"/>
        <v>9.076380157</v>
      </c>
    </row>
    <row r="261" ht="12.0" customHeight="1">
      <c r="B261" s="108">
        <f t="shared" si="8"/>
        <v>84.4</v>
      </c>
      <c r="D261" s="259">
        <v>65.0</v>
      </c>
      <c r="E261" s="278">
        <f t="shared" si="9"/>
        <v>0.9738461538</v>
      </c>
      <c r="F261" s="278">
        <f>($F$188+(D261-VINMAX)*$E$281/$E$282)/D261</f>
        <v>1.298461538</v>
      </c>
      <c r="G261" s="278">
        <f t="shared" si="10"/>
        <v>1.623076923</v>
      </c>
      <c r="I261" s="259">
        <v>65.0</v>
      </c>
      <c r="J261" s="278">
        <f t="shared" si="11"/>
        <v>0.9738461538</v>
      </c>
      <c r="K261" s="278">
        <f t="shared" si="12"/>
        <v>1.298461538</v>
      </c>
      <c r="L261" s="278">
        <f t="shared" si="13"/>
        <v>1.623076923</v>
      </c>
      <c r="R261" s="259">
        <v>65.0</v>
      </c>
      <c r="S261" s="278">
        <f t="shared" ref="S261:U261" si="78">IF($R261&gt;$F$181,0.0000000005,J261)</f>
        <v>0.0000000005</v>
      </c>
      <c r="T261" s="278">
        <f t="shared" si="78"/>
        <v>0.0000000005</v>
      </c>
      <c r="U261" s="278">
        <f t="shared" si="78"/>
        <v>0.0000000005</v>
      </c>
      <c r="V261" s="278">
        <f t="shared" si="15"/>
        <v>8.936743539</v>
      </c>
    </row>
    <row r="262" ht="12.0" customHeight="1">
      <c r="B262" s="108">
        <f t="shared" si="8"/>
        <v>84.8</v>
      </c>
      <c r="D262" s="259">
        <v>66.0</v>
      </c>
      <c r="E262" s="278">
        <f t="shared" si="9"/>
        <v>0.9636363636</v>
      </c>
      <c r="F262" s="278">
        <f>($F$188+(D262-VINMAX)*$E$281/$E$282)/D262</f>
        <v>1.284848485</v>
      </c>
      <c r="G262" s="278">
        <f t="shared" si="10"/>
        <v>1.606060606</v>
      </c>
      <c r="I262" s="259">
        <v>66.0</v>
      </c>
      <c r="J262" s="278">
        <f t="shared" si="11"/>
        <v>0.9636363636</v>
      </c>
      <c r="K262" s="278">
        <f t="shared" si="12"/>
        <v>1.284848485</v>
      </c>
      <c r="L262" s="278">
        <f t="shared" si="13"/>
        <v>1.606060606</v>
      </c>
      <c r="R262" s="259">
        <v>66.0</v>
      </c>
      <c r="S262" s="278">
        <f t="shared" ref="S262:U262" si="79">IF($R262&gt;$F$181,0.0000000005,J262)</f>
        <v>0.0000000005</v>
      </c>
      <c r="T262" s="278">
        <f t="shared" si="79"/>
        <v>0.0000000005</v>
      </c>
      <c r="U262" s="278">
        <f t="shared" si="79"/>
        <v>0.0000000005</v>
      </c>
      <c r="V262" s="278">
        <f t="shared" si="15"/>
        <v>8.801338334</v>
      </c>
    </row>
    <row r="263" ht="12.0" customHeight="1">
      <c r="B263" s="108">
        <f t="shared" si="8"/>
        <v>85.2</v>
      </c>
      <c r="D263" s="259">
        <v>67.0</v>
      </c>
      <c r="E263" s="278">
        <f t="shared" si="9"/>
        <v>0.9537313433</v>
      </c>
      <c r="F263" s="278">
        <f>($F$188+(D263-VINMAX)*$E$281/$E$282)/D263</f>
        <v>1.271641791</v>
      </c>
      <c r="G263" s="278">
        <f t="shared" si="10"/>
        <v>1.589552239</v>
      </c>
      <c r="I263" s="259">
        <v>67.0</v>
      </c>
      <c r="J263" s="278">
        <f t="shared" si="11"/>
        <v>0.9537313433</v>
      </c>
      <c r="K263" s="278">
        <f t="shared" si="12"/>
        <v>1.271641791</v>
      </c>
      <c r="L263" s="278">
        <f t="shared" si="13"/>
        <v>1.589552239</v>
      </c>
      <c r="R263" s="259">
        <v>67.0</v>
      </c>
      <c r="S263" s="278">
        <f t="shared" ref="S263:U263" si="80">IF($R263&gt;$F$181,0.0000000005,J263)</f>
        <v>0.0000000005</v>
      </c>
      <c r="T263" s="278">
        <f t="shared" si="80"/>
        <v>0.0000000005</v>
      </c>
      <c r="U263" s="278">
        <f t="shared" si="80"/>
        <v>0.0000000005</v>
      </c>
      <c r="V263" s="278">
        <f t="shared" si="15"/>
        <v>8.669975075</v>
      </c>
    </row>
    <row r="264" ht="12.0" customHeight="1">
      <c r="B264" s="108">
        <f t="shared" si="8"/>
        <v>85.6</v>
      </c>
      <c r="D264" s="259">
        <v>68.0</v>
      </c>
      <c r="E264" s="278">
        <f t="shared" si="9"/>
        <v>0.9441176471</v>
      </c>
      <c r="F264" s="278">
        <f>($F$188+(D264-VINMAX)*$E$281/$E$282)/D264</f>
        <v>1.258823529</v>
      </c>
      <c r="G264" s="278">
        <f t="shared" si="10"/>
        <v>1.573529412</v>
      </c>
      <c r="I264" s="259">
        <v>68.0</v>
      </c>
      <c r="J264" s="278">
        <f t="shared" si="11"/>
        <v>0.9441176471</v>
      </c>
      <c r="K264" s="278">
        <f t="shared" si="12"/>
        <v>1.258823529</v>
      </c>
      <c r="L264" s="278">
        <f t="shared" si="13"/>
        <v>1.573529412</v>
      </c>
      <c r="R264" s="259">
        <v>68.0</v>
      </c>
      <c r="S264" s="278">
        <f t="shared" ref="S264:U264" si="81">IF($R264&gt;$F$181,0.0000000005,J264)</f>
        <v>0.0000000005</v>
      </c>
      <c r="T264" s="278">
        <f t="shared" si="81"/>
        <v>0.0000000005</v>
      </c>
      <c r="U264" s="278">
        <f t="shared" si="81"/>
        <v>0.0000000005</v>
      </c>
      <c r="V264" s="278">
        <f t="shared" si="15"/>
        <v>8.542475442</v>
      </c>
    </row>
    <row r="265" ht="12.0" customHeight="1">
      <c r="B265" s="108">
        <f t="shared" si="8"/>
        <v>86</v>
      </c>
      <c r="D265" s="259">
        <v>69.0</v>
      </c>
      <c r="E265" s="278">
        <f t="shared" si="9"/>
        <v>0.9347826087</v>
      </c>
      <c r="F265" s="278">
        <f>($F$188+(D265-VINMAX)*$E$281/$E$282)/D265</f>
        <v>1.246376812</v>
      </c>
      <c r="G265" s="278">
        <f t="shared" si="10"/>
        <v>1.557971014</v>
      </c>
      <c r="I265" s="259">
        <v>69.0</v>
      </c>
      <c r="J265" s="278">
        <f t="shared" si="11"/>
        <v>0.9347826087</v>
      </c>
      <c r="K265" s="278">
        <f t="shared" si="12"/>
        <v>1.246376812</v>
      </c>
      <c r="L265" s="278">
        <f t="shared" si="13"/>
        <v>1.557971014</v>
      </c>
      <c r="R265" s="259">
        <v>69.0</v>
      </c>
      <c r="S265" s="278">
        <f t="shared" ref="S265:U265" si="82">IF($R265&gt;$F$181,0.0000000005,J265)</f>
        <v>0.0000000005</v>
      </c>
      <c r="T265" s="278">
        <f t="shared" si="82"/>
        <v>0.0000000005</v>
      </c>
      <c r="U265" s="278">
        <f t="shared" si="82"/>
        <v>0.0000000005</v>
      </c>
      <c r="V265" s="278">
        <f t="shared" si="15"/>
        <v>8.41867145</v>
      </c>
    </row>
    <row r="266" ht="12.0" customHeight="1">
      <c r="B266" s="108">
        <f t="shared" si="8"/>
        <v>86.4</v>
      </c>
      <c r="D266" s="259">
        <v>70.0</v>
      </c>
      <c r="E266" s="278">
        <f t="shared" si="9"/>
        <v>0.9257142857</v>
      </c>
      <c r="F266" s="278">
        <f>($F$188+(D266-VINMAX)*$E$281/$E$282)/D266</f>
        <v>1.234285714</v>
      </c>
      <c r="G266" s="278">
        <f t="shared" si="10"/>
        <v>1.542857143</v>
      </c>
      <c r="I266" s="259">
        <v>70.0</v>
      </c>
      <c r="J266" s="278">
        <f t="shared" si="11"/>
        <v>0.9257142857</v>
      </c>
      <c r="K266" s="278">
        <f t="shared" si="12"/>
        <v>1.234285714</v>
      </c>
      <c r="L266" s="278">
        <f t="shared" si="13"/>
        <v>1.542857143</v>
      </c>
      <c r="R266" s="259">
        <v>70.0</v>
      </c>
      <c r="S266" s="278">
        <f t="shared" ref="S266:U266" si="83">IF($R266&gt;$F$181,0.0000000005,J266)</f>
        <v>0.0000000005</v>
      </c>
      <c r="T266" s="278">
        <f t="shared" si="83"/>
        <v>0.0000000005</v>
      </c>
      <c r="U266" s="278">
        <f t="shared" si="83"/>
        <v>0.0000000005</v>
      </c>
      <c r="V266" s="278">
        <f t="shared" si="15"/>
        <v>8.298404715</v>
      </c>
    </row>
    <row r="267" ht="12.0" customHeight="1">
      <c r="B267" s="108">
        <f t="shared" si="8"/>
        <v>86.8</v>
      </c>
      <c r="D267" s="259">
        <v>71.0</v>
      </c>
      <c r="E267" s="278">
        <f t="shared" si="9"/>
        <v>0.9169014085</v>
      </c>
      <c r="F267" s="278">
        <f>($F$188+(D267-VINMAX)*$E$281/$E$282)/D267</f>
        <v>1.222535211</v>
      </c>
      <c r="G267" s="278">
        <f t="shared" si="10"/>
        <v>1.528169014</v>
      </c>
      <c r="I267" s="259">
        <v>71.0</v>
      </c>
      <c r="J267" s="278">
        <f t="shared" si="11"/>
        <v>0.9169014085</v>
      </c>
      <c r="K267" s="278">
        <f t="shared" si="12"/>
        <v>1.222535211</v>
      </c>
      <c r="L267" s="278">
        <f t="shared" si="13"/>
        <v>1.528169014</v>
      </c>
      <c r="R267" s="259">
        <v>71.0</v>
      </c>
      <c r="S267" s="278">
        <f t="shared" ref="S267:U267" si="84">IF($R267&gt;$F$181,0.0000000005,J267)</f>
        <v>0.0000000005</v>
      </c>
      <c r="T267" s="278">
        <f t="shared" si="84"/>
        <v>0.0000000005</v>
      </c>
      <c r="U267" s="278">
        <f t="shared" si="84"/>
        <v>0.0000000005</v>
      </c>
      <c r="V267" s="278">
        <f t="shared" si="15"/>
        <v>8.181525775</v>
      </c>
    </row>
    <row r="268" ht="12.0" customHeight="1">
      <c r="B268" s="108">
        <f t="shared" si="8"/>
        <v>87.2</v>
      </c>
      <c r="D268" s="259">
        <v>72.0</v>
      </c>
      <c r="E268" s="278">
        <f t="shared" si="9"/>
        <v>0.9083333333</v>
      </c>
      <c r="F268" s="278">
        <f>($F$188+(D268-VINMAX)*$E$281/$E$282)/D268</f>
        <v>1.211111111</v>
      </c>
      <c r="G268" s="278">
        <f t="shared" si="10"/>
        <v>1.513888889</v>
      </c>
      <c r="I268" s="259">
        <v>72.0</v>
      </c>
      <c r="J268" s="278">
        <f t="shared" si="11"/>
        <v>0.9083333333</v>
      </c>
      <c r="K268" s="278">
        <f t="shared" si="12"/>
        <v>1.211111111</v>
      </c>
      <c r="L268" s="278">
        <f t="shared" si="13"/>
        <v>1.513888889</v>
      </c>
      <c r="R268" s="259">
        <v>72.0</v>
      </c>
      <c r="S268" s="278">
        <f t="shared" ref="S268:U268" si="85">IF($R268&gt;$F$181,0.0000000005,J268)</f>
        <v>0.0000000005</v>
      </c>
      <c r="T268" s="278">
        <f t="shared" si="85"/>
        <v>0.0000000005</v>
      </c>
      <c r="U268" s="278">
        <f t="shared" si="85"/>
        <v>0.0000000005</v>
      </c>
      <c r="V268" s="278">
        <f t="shared" si="15"/>
        <v>8.067893473</v>
      </c>
    </row>
    <row r="269" ht="12.0" customHeight="1">
      <c r="B269" s="108">
        <f t="shared" si="8"/>
        <v>87.6</v>
      </c>
      <c r="D269" s="259">
        <v>73.0</v>
      </c>
      <c r="E269" s="278">
        <f t="shared" si="9"/>
        <v>0.9</v>
      </c>
      <c r="F269" s="278">
        <f>($F$188+(D269-VINMAX)*$E$281/$E$282)/D269</f>
        <v>1.2</v>
      </c>
      <c r="G269" s="278">
        <f t="shared" si="10"/>
        <v>1.5</v>
      </c>
      <c r="I269" s="259">
        <v>73.0</v>
      </c>
      <c r="J269" s="278">
        <f t="shared" si="11"/>
        <v>0.9</v>
      </c>
      <c r="K269" s="278">
        <f t="shared" si="12"/>
        <v>1.2</v>
      </c>
      <c r="L269" s="278">
        <f t="shared" si="13"/>
        <v>1.5</v>
      </c>
      <c r="R269" s="259">
        <v>73.0</v>
      </c>
      <c r="S269" s="278">
        <f t="shared" ref="S269:U269" si="86">IF($R269&gt;$F$181,0.0000000005,J269)</f>
        <v>0.0000000005</v>
      </c>
      <c r="T269" s="278">
        <f t="shared" si="86"/>
        <v>0.0000000005</v>
      </c>
      <c r="U269" s="278">
        <f t="shared" si="86"/>
        <v>0.0000000005</v>
      </c>
      <c r="V269" s="278">
        <f t="shared" si="15"/>
        <v>7.957374384</v>
      </c>
    </row>
    <row r="270" ht="12.0" customHeight="1">
      <c r="B270" s="108">
        <f t="shared" si="8"/>
        <v>88</v>
      </c>
      <c r="D270" s="259">
        <v>74.0</v>
      </c>
      <c r="E270" s="278">
        <f t="shared" si="9"/>
        <v>0.8918918919</v>
      </c>
      <c r="F270" s="278">
        <f>($F$188+(D270-VINMAX)*$E$281/$E$282)/D270</f>
        <v>1.189189189</v>
      </c>
      <c r="G270" s="278">
        <f t="shared" si="10"/>
        <v>1.486486486</v>
      </c>
      <c r="I270" s="259">
        <v>74.0</v>
      </c>
      <c r="J270" s="278">
        <f t="shared" si="11"/>
        <v>0.8918918919</v>
      </c>
      <c r="K270" s="278">
        <f t="shared" si="12"/>
        <v>1.189189189</v>
      </c>
      <c r="L270" s="278">
        <f t="shared" si="13"/>
        <v>1.486486486</v>
      </c>
      <c r="R270" s="259">
        <v>74.0</v>
      </c>
      <c r="S270" s="278">
        <f t="shared" ref="S270:U270" si="87">IF($R270&gt;$F$181,0.0000000005,J270)</f>
        <v>0.0000000005</v>
      </c>
      <c r="T270" s="278">
        <f t="shared" si="87"/>
        <v>0.0000000005</v>
      </c>
      <c r="U270" s="278">
        <f t="shared" si="87"/>
        <v>0.0000000005</v>
      </c>
      <c r="V270" s="278">
        <f t="shared" si="15"/>
        <v>7.849842298</v>
      </c>
    </row>
    <row r="271" ht="12.0" customHeight="1">
      <c r="B271" s="108">
        <f t="shared" si="8"/>
        <v>88.4</v>
      </c>
      <c r="D271" s="259">
        <v>75.0</v>
      </c>
      <c r="E271" s="278">
        <f t="shared" si="9"/>
        <v>0.884</v>
      </c>
      <c r="F271" s="278">
        <f>($F$188+(D271-VINMAX)*$E$281/$E$282)/D271</f>
        <v>1.178666667</v>
      </c>
      <c r="G271" s="278">
        <f t="shared" si="10"/>
        <v>1.473333333</v>
      </c>
      <c r="I271" s="259">
        <v>75.0</v>
      </c>
      <c r="J271" s="278">
        <f t="shared" si="11"/>
        <v>0.884</v>
      </c>
      <c r="K271" s="278">
        <f t="shared" si="12"/>
        <v>1.178666667</v>
      </c>
      <c r="L271" s="278">
        <f t="shared" si="13"/>
        <v>1.473333333</v>
      </c>
      <c r="R271" s="259">
        <v>75.0</v>
      </c>
      <c r="S271" s="278">
        <f t="shared" ref="S271:U271" si="88">IF($R271&gt;$F$181,0.0000000005,J271)</f>
        <v>0.0000000005</v>
      </c>
      <c r="T271" s="278">
        <f t="shared" si="88"/>
        <v>0.0000000005</v>
      </c>
      <c r="U271" s="278">
        <f t="shared" si="88"/>
        <v>0.0000000005</v>
      </c>
      <c r="V271" s="278">
        <f t="shared" si="15"/>
        <v>7.745177734</v>
      </c>
    </row>
    <row r="272" ht="12.0" customHeight="1">
      <c r="B272" s="108">
        <f t="shared" si="8"/>
        <v>88.8</v>
      </c>
      <c r="D272" s="259">
        <v>76.0</v>
      </c>
      <c r="E272" s="278">
        <f t="shared" si="9"/>
        <v>0.8763157895</v>
      </c>
      <c r="F272" s="278">
        <f>($F$188+(D272-VINMAX)*$E$281/$E$282)/D272</f>
        <v>1.168421053</v>
      </c>
      <c r="G272" s="278">
        <f t="shared" si="10"/>
        <v>1.460526316</v>
      </c>
      <c r="I272" s="259">
        <v>76.0</v>
      </c>
      <c r="J272" s="278">
        <f t="shared" si="11"/>
        <v>0.8763157895</v>
      </c>
      <c r="K272" s="278">
        <f t="shared" si="12"/>
        <v>1.168421053</v>
      </c>
      <c r="L272" s="278">
        <f t="shared" si="13"/>
        <v>1.460526316</v>
      </c>
      <c r="R272" s="259">
        <v>76.0</v>
      </c>
      <c r="S272" s="278">
        <f t="shared" ref="S272:U272" si="89">IF($R272&gt;$F$181,0.0000000005,J272)</f>
        <v>0.0000000005</v>
      </c>
      <c r="T272" s="278">
        <f t="shared" si="89"/>
        <v>0.0000000005</v>
      </c>
      <c r="U272" s="278">
        <f t="shared" si="89"/>
        <v>0.0000000005</v>
      </c>
      <c r="V272" s="278">
        <f t="shared" si="15"/>
        <v>7.6432675</v>
      </c>
    </row>
    <row r="273" ht="12.0" customHeight="1">
      <c r="B273" s="108">
        <f t="shared" si="8"/>
        <v>89.2</v>
      </c>
      <c r="D273" s="259">
        <v>77.0</v>
      </c>
      <c r="E273" s="278">
        <f t="shared" si="9"/>
        <v>0.8688311688</v>
      </c>
      <c r="F273" s="278">
        <f>($F$188+(D273-VINMAX)*$E$281/$E$282)/D273</f>
        <v>1.158441558</v>
      </c>
      <c r="G273" s="278">
        <f t="shared" si="10"/>
        <v>1.448051948</v>
      </c>
      <c r="I273" s="259">
        <v>77.0</v>
      </c>
      <c r="J273" s="278">
        <f t="shared" si="11"/>
        <v>0.8688311688</v>
      </c>
      <c r="K273" s="278">
        <f t="shared" si="12"/>
        <v>1.158441558</v>
      </c>
      <c r="L273" s="278">
        <f t="shared" si="13"/>
        <v>1.448051948</v>
      </c>
      <c r="R273" s="259">
        <v>77.0</v>
      </c>
      <c r="S273" s="278">
        <f t="shared" ref="S273:U273" si="90">IF($R273&gt;$F$181,0.0000000005,J273)</f>
        <v>0.0000000005</v>
      </c>
      <c r="T273" s="278">
        <f t="shared" si="90"/>
        <v>0.0000000005</v>
      </c>
      <c r="U273" s="278">
        <f t="shared" si="90"/>
        <v>0.0000000005</v>
      </c>
      <c r="V273" s="278">
        <f t="shared" si="15"/>
        <v>7.544004286</v>
      </c>
    </row>
    <row r="274" ht="12.0" customHeight="1">
      <c r="B274" s="108">
        <f t="shared" si="8"/>
        <v>89.6</v>
      </c>
      <c r="D274" s="259">
        <v>78.0</v>
      </c>
      <c r="E274" s="278">
        <f t="shared" si="9"/>
        <v>0.8615384615</v>
      </c>
      <c r="F274" s="278">
        <f>($F$188+(D274-VINMAX)*$E$281/$E$282)/D274</f>
        <v>1.148717949</v>
      </c>
      <c r="G274" s="278">
        <f t="shared" si="10"/>
        <v>1.435897436</v>
      </c>
      <c r="I274" s="259">
        <v>78.0</v>
      </c>
      <c r="J274" s="278">
        <f t="shared" si="11"/>
        <v>0.8615384615</v>
      </c>
      <c r="K274" s="278">
        <f t="shared" si="12"/>
        <v>1.148717949</v>
      </c>
      <c r="L274" s="278">
        <f t="shared" si="13"/>
        <v>1.435897436</v>
      </c>
      <c r="R274" s="259">
        <v>78.0</v>
      </c>
      <c r="S274" s="278">
        <f t="shared" ref="S274:U274" si="91">IF($R274&gt;$F$181,0.0000000005,J274)</f>
        <v>0.0000000005</v>
      </c>
      <c r="T274" s="278">
        <f t="shared" si="91"/>
        <v>0.0000000005</v>
      </c>
      <c r="U274" s="278">
        <f t="shared" si="91"/>
        <v>0.0000000005</v>
      </c>
      <c r="V274" s="278">
        <f t="shared" si="15"/>
        <v>7.447286282</v>
      </c>
    </row>
    <row r="275" ht="12.0" customHeight="1">
      <c r="B275" s="108">
        <f t="shared" si="8"/>
        <v>90</v>
      </c>
      <c r="D275" s="259">
        <v>79.0</v>
      </c>
      <c r="E275" s="278">
        <f t="shared" si="9"/>
        <v>0.8544303797</v>
      </c>
      <c r="F275" s="278">
        <f>($F$188+(D275-VINMAX)*$E$281/$E$282)/D275</f>
        <v>1.139240506</v>
      </c>
      <c r="G275" s="278">
        <f t="shared" si="10"/>
        <v>1.424050633</v>
      </c>
      <c r="I275" s="259">
        <v>79.0</v>
      </c>
      <c r="J275" s="278">
        <f t="shared" si="11"/>
        <v>0.8544303797</v>
      </c>
      <c r="K275" s="278">
        <f t="shared" si="12"/>
        <v>1.139240506</v>
      </c>
      <c r="L275" s="278">
        <f t="shared" si="13"/>
        <v>1.424050633</v>
      </c>
      <c r="R275" s="259">
        <v>79.0</v>
      </c>
      <c r="S275" s="278">
        <f t="shared" ref="S275:U275" si="92">IF($R275&gt;$F$181,0.0000000005,J275)</f>
        <v>0.0000000005</v>
      </c>
      <c r="T275" s="278">
        <f t="shared" si="92"/>
        <v>0.0000000005</v>
      </c>
      <c r="U275" s="278">
        <f t="shared" si="92"/>
        <v>0.0000000005</v>
      </c>
      <c r="V275" s="278">
        <f t="shared" si="15"/>
        <v>7.353016836</v>
      </c>
    </row>
    <row r="276" ht="12.0" customHeight="1">
      <c r="B276" s="108">
        <f t="shared" si="8"/>
        <v>90.4</v>
      </c>
      <c r="D276" s="259">
        <v>80.0</v>
      </c>
      <c r="E276" s="278">
        <f t="shared" si="9"/>
        <v>0.8475</v>
      </c>
      <c r="F276" s="278">
        <f>($F$188+(D276-VINMAX)*$E$281/$E$282)/D276</f>
        <v>1.13</v>
      </c>
      <c r="G276" s="278">
        <f t="shared" si="10"/>
        <v>1.4125</v>
      </c>
      <c r="I276" s="259">
        <v>80.0</v>
      </c>
      <c r="J276" s="278">
        <f t="shared" si="11"/>
        <v>0.8475</v>
      </c>
      <c r="K276" s="278">
        <f t="shared" si="12"/>
        <v>1.13</v>
      </c>
      <c r="L276" s="278">
        <f t="shared" si="13"/>
        <v>1.4125</v>
      </c>
      <c r="R276" s="259">
        <v>80.0</v>
      </c>
      <c r="S276" s="278">
        <f t="shared" ref="S276:U276" si="93">IF($R276&gt;$F$181,0.0000000005,J276)</f>
        <v>0.0000000005</v>
      </c>
      <c r="T276" s="278">
        <f t="shared" si="93"/>
        <v>0.0000000005</v>
      </c>
      <c r="U276" s="278">
        <f t="shared" si="93"/>
        <v>0.0000000005</v>
      </c>
      <c r="V276" s="278">
        <f t="shared" si="15"/>
        <v>7.261104125</v>
      </c>
    </row>
    <row r="277" ht="12.0" customHeight="1">
      <c r="D277" s="252"/>
      <c r="E277" s="262"/>
      <c r="F277" s="262"/>
      <c r="G277" s="262"/>
      <c r="I277" s="252"/>
      <c r="J277" s="262"/>
      <c r="K277" s="262"/>
      <c r="L277" s="262"/>
    </row>
    <row r="278" ht="12.0" customHeight="1"/>
    <row r="279" ht="12.0" customHeight="1">
      <c r="D279" s="11" t="s">
        <v>438</v>
      </c>
    </row>
    <row r="280" ht="12.0" customHeight="1"/>
    <row r="281" ht="12.0" customHeight="1">
      <c r="D281" s="11" t="s">
        <v>439</v>
      </c>
      <c r="E281" s="108">
        <f>'Device Parameters'!E12</f>
        <v>0.001</v>
      </c>
    </row>
    <row r="282" ht="12.0" customHeight="1">
      <c r="D282" s="11" t="s">
        <v>440</v>
      </c>
      <c r="E282" s="108">
        <f>RsEFF*0.001</f>
        <v>0.0025</v>
      </c>
    </row>
    <row r="283" ht="12.0" customHeight="1">
      <c r="D283" s="11" t="s">
        <v>441</v>
      </c>
      <c r="E283" s="108">
        <f>VINMAX</f>
        <v>30</v>
      </c>
    </row>
    <row r="284" ht="12.0" customHeight="1">
      <c r="D284" s="11" t="s">
        <v>442</v>
      </c>
      <c r="E284" s="252"/>
      <c r="F284" s="108">
        <v>0.25</v>
      </c>
    </row>
    <row r="285" ht="12.0" customHeight="1"/>
    <row r="286" ht="12.0" customHeight="1">
      <c r="D286" s="254" t="s">
        <v>443</v>
      </c>
    </row>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3">
    <mergeCell ref="D54:G54"/>
    <mergeCell ref="D63:G63"/>
    <mergeCell ref="D78:H78"/>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7.71"/>
    <col customWidth="1" min="3" max="3" width="15.71"/>
    <col customWidth="1" min="4" max="5" width="8.71"/>
    <col customWidth="1" min="6" max="6" width="27.71"/>
    <col customWidth="1" min="7" max="7" width="15.71"/>
    <col customWidth="1" min="8" max="9" width="8.71"/>
    <col customWidth="1" min="10" max="10" width="27.71"/>
    <col customWidth="1" min="11" max="11" width="15.71"/>
    <col customWidth="1" min="12" max="13" width="8.71"/>
    <col customWidth="1" min="14" max="14" width="27.71"/>
    <col customWidth="1" min="15" max="15" width="15.71"/>
    <col customWidth="1" min="16" max="17" width="8.71"/>
    <col customWidth="1" min="18" max="18" width="27.71"/>
    <col customWidth="1" min="19" max="19" width="15.71"/>
    <col customWidth="1" min="20" max="21" width="8.71"/>
    <col customWidth="1" min="22" max="22" width="27.71"/>
    <col customWidth="1" min="23" max="23" width="15.71"/>
    <col customWidth="1" min="24" max="25" width="8.71"/>
    <col customWidth="1" min="26" max="26" width="27.71"/>
    <col customWidth="1" min="27" max="27" width="15.71"/>
    <col customWidth="1" min="28" max="29" width="8.71"/>
    <col customWidth="1" min="30" max="30" width="27.71"/>
    <col customWidth="1" min="31" max="31" width="15.71"/>
    <col customWidth="1" min="32" max="33" width="8.71"/>
    <col customWidth="1" min="34" max="34" width="27.71"/>
    <col customWidth="1" min="35" max="35" width="15.71"/>
    <col customWidth="1" min="36" max="37" width="8.71"/>
    <col customWidth="1" min="38" max="38" width="27.71"/>
    <col customWidth="1" min="39" max="39" width="15.71"/>
    <col customWidth="1" min="40" max="41" width="8.71"/>
    <col customWidth="1" min="42" max="42" width="27.71"/>
    <col customWidth="1" min="43" max="43" width="15.71"/>
    <col customWidth="1" min="44" max="45" width="8.71"/>
    <col customWidth="1" min="46" max="46" width="27.71"/>
    <col customWidth="1" min="47" max="47" width="15.71"/>
    <col customWidth="1" min="48" max="49" width="8.71"/>
    <col customWidth="1" min="50" max="50" width="27.71"/>
    <col customWidth="1" min="51" max="51" width="15.71"/>
    <col customWidth="1" min="52" max="53" width="8.71"/>
    <col customWidth="1" min="54" max="54" width="27.71"/>
    <col customWidth="1" min="55" max="55" width="15.71"/>
    <col customWidth="1" min="56" max="57" width="8.71"/>
    <col customWidth="1" min="58" max="58" width="27.71"/>
    <col customWidth="1" min="59" max="59" width="15.71"/>
    <col customWidth="1" min="60" max="61" width="8.71"/>
    <col customWidth="1" min="62" max="62" width="27.71"/>
    <col customWidth="1" min="63" max="63" width="15.71"/>
    <col customWidth="1" min="64" max="65" width="8.71"/>
    <col customWidth="1" min="66" max="66" width="27.71"/>
    <col customWidth="1" min="67" max="67" width="15.71"/>
    <col customWidth="1" min="68" max="69" width="8.71"/>
    <col customWidth="1" min="70" max="70" width="27.71"/>
    <col customWidth="1" min="71" max="71" width="15.71"/>
    <col customWidth="1" min="72" max="73" width="8.71"/>
    <col customWidth="1" min="74" max="74" width="27.71"/>
    <col customWidth="1" min="75" max="75" width="15.71"/>
    <col customWidth="1" min="76" max="76" width="8.71"/>
  </cols>
  <sheetData>
    <row r="1" ht="12.0" customHeight="1"/>
    <row r="2" ht="12.0" customHeight="1"/>
    <row r="3" ht="12.0" customHeight="1"/>
    <row r="4" ht="12.0" customHeight="1">
      <c r="B4" s="11" t="str">
        <f>'Design Calculator'!H54</f>
        <v>Vishay SiJ186DP</v>
      </c>
      <c r="C4" s="108">
        <v>1.0</v>
      </c>
      <c r="F4" s="11" t="s">
        <v>444</v>
      </c>
      <c r="G4" s="108">
        <v>2.0</v>
      </c>
      <c r="H4" s="11"/>
      <c r="J4" s="11" t="s">
        <v>445</v>
      </c>
      <c r="K4" s="11">
        <v>3.0</v>
      </c>
      <c r="L4" s="11"/>
      <c r="N4" s="11" t="s">
        <v>446</v>
      </c>
      <c r="O4" s="11">
        <v>4.0</v>
      </c>
      <c r="P4" s="11"/>
      <c r="R4" s="11" t="s">
        <v>447</v>
      </c>
      <c r="S4" s="11">
        <v>5.0</v>
      </c>
      <c r="T4" s="11"/>
      <c r="V4" s="11" t="s">
        <v>448</v>
      </c>
      <c r="W4" s="11">
        <v>6.0</v>
      </c>
      <c r="X4" s="11"/>
      <c r="Z4" s="11" t="s">
        <v>449</v>
      </c>
      <c r="AA4" s="11">
        <v>7.0</v>
      </c>
      <c r="AB4" s="11"/>
      <c r="AD4" s="11" t="s">
        <v>450</v>
      </c>
      <c r="AE4" s="11">
        <v>8.0</v>
      </c>
      <c r="AF4" s="11"/>
      <c r="AH4" s="11" t="s">
        <v>451</v>
      </c>
      <c r="AI4" s="11">
        <v>9.0</v>
      </c>
      <c r="AJ4" s="11"/>
      <c r="AL4" s="11" t="s">
        <v>452</v>
      </c>
      <c r="AM4" s="11">
        <v>10.0</v>
      </c>
      <c r="AN4" s="11"/>
      <c r="AP4" s="11" t="s">
        <v>453</v>
      </c>
      <c r="AQ4" s="11">
        <v>11.0</v>
      </c>
      <c r="AR4" s="11"/>
      <c r="AT4" s="11" t="s">
        <v>454</v>
      </c>
      <c r="AU4" s="11">
        <v>12.0</v>
      </c>
      <c r="AV4" s="11"/>
      <c r="AX4" s="11" t="s">
        <v>455</v>
      </c>
      <c r="AY4" s="11">
        <v>13.0</v>
      </c>
      <c r="AZ4" s="11"/>
      <c r="BB4" s="11" t="s">
        <v>456</v>
      </c>
      <c r="BC4" s="11">
        <v>14.0</v>
      </c>
      <c r="BD4" s="11"/>
      <c r="BF4" s="11" t="s">
        <v>457</v>
      </c>
      <c r="BG4" s="11">
        <v>15.0</v>
      </c>
      <c r="BH4" s="11"/>
      <c r="BJ4" s="11" t="s">
        <v>458</v>
      </c>
      <c r="BK4" s="11">
        <v>16.0</v>
      </c>
      <c r="BL4" s="11"/>
      <c r="BN4" s="11" t="s">
        <v>459</v>
      </c>
      <c r="BO4" s="11">
        <v>17.0</v>
      </c>
      <c r="BP4" s="11"/>
      <c r="BR4" s="11" t="s">
        <v>460</v>
      </c>
      <c r="BS4" s="11">
        <v>18.0</v>
      </c>
      <c r="BT4" s="11"/>
      <c r="BV4" s="11" t="s">
        <v>461</v>
      </c>
      <c r="BW4" s="11">
        <v>19.0</v>
      </c>
      <c r="BX4" s="11"/>
    </row>
    <row r="5" ht="12.0" customHeight="1">
      <c r="B5" s="11" t="s">
        <v>462</v>
      </c>
      <c r="C5" s="11" t="s">
        <v>463</v>
      </c>
      <c r="F5" s="11" t="s">
        <v>462</v>
      </c>
      <c r="G5" s="282" t="s">
        <v>464</v>
      </c>
      <c r="H5" s="11"/>
      <c r="J5" s="11" t="s">
        <v>462</v>
      </c>
      <c r="K5" s="282" t="s">
        <v>465</v>
      </c>
      <c r="L5" s="11"/>
      <c r="N5" s="11" t="s">
        <v>462</v>
      </c>
      <c r="O5" s="282" t="s">
        <v>466</v>
      </c>
      <c r="P5" s="11"/>
      <c r="R5" s="11" t="s">
        <v>462</v>
      </c>
      <c r="S5" s="282" t="s">
        <v>467</v>
      </c>
      <c r="T5" s="11"/>
      <c r="V5" s="11" t="s">
        <v>462</v>
      </c>
      <c r="W5" s="282" t="s">
        <v>468</v>
      </c>
      <c r="X5" s="11"/>
      <c r="Z5" s="11" t="s">
        <v>462</v>
      </c>
      <c r="AA5" s="282" t="s">
        <v>469</v>
      </c>
      <c r="AB5" s="11"/>
      <c r="AD5" s="11" t="s">
        <v>462</v>
      </c>
      <c r="AE5" s="282" t="s">
        <v>470</v>
      </c>
      <c r="AF5" s="11"/>
      <c r="AH5" s="11" t="s">
        <v>462</v>
      </c>
      <c r="AI5" s="282" t="s">
        <v>471</v>
      </c>
      <c r="AJ5" s="11"/>
      <c r="AL5" s="11" t="s">
        <v>462</v>
      </c>
      <c r="AM5" s="282" t="s">
        <v>472</v>
      </c>
      <c r="AN5" s="11"/>
      <c r="AP5" s="11" t="s">
        <v>462</v>
      </c>
      <c r="AQ5" s="282" t="s">
        <v>473</v>
      </c>
      <c r="AR5" s="11"/>
      <c r="AT5" s="11" t="s">
        <v>462</v>
      </c>
      <c r="AU5" s="282" t="s">
        <v>474</v>
      </c>
      <c r="AV5" s="11"/>
      <c r="AX5" s="11" t="s">
        <v>462</v>
      </c>
      <c r="AY5" s="282" t="s">
        <v>475</v>
      </c>
      <c r="AZ5" s="11"/>
      <c r="BB5" s="11" t="s">
        <v>462</v>
      </c>
      <c r="BC5" s="282" t="s">
        <v>476</v>
      </c>
      <c r="BD5" s="11"/>
      <c r="BF5" s="11" t="s">
        <v>462</v>
      </c>
      <c r="BG5" s="282" t="s">
        <v>477</v>
      </c>
      <c r="BH5" s="11"/>
      <c r="BJ5" s="11" t="s">
        <v>462</v>
      </c>
      <c r="BK5" s="282" t="s">
        <v>478</v>
      </c>
      <c r="BL5" s="11"/>
      <c r="BN5" s="11" t="s">
        <v>462</v>
      </c>
      <c r="BO5" s="282" t="s">
        <v>479</v>
      </c>
      <c r="BP5" s="11"/>
      <c r="BR5" s="11" t="s">
        <v>462</v>
      </c>
      <c r="BS5" s="282" t="s">
        <v>480</v>
      </c>
      <c r="BT5" s="11"/>
      <c r="BV5" s="11" t="s">
        <v>462</v>
      </c>
      <c r="BW5" s="282" t="s">
        <v>481</v>
      </c>
      <c r="BX5" s="11"/>
    </row>
    <row r="6" ht="12.0" customHeight="1">
      <c r="B6" s="11" t="s">
        <v>333</v>
      </c>
      <c r="C6" s="108">
        <f>'Design Calculator'!H56</f>
        <v>175</v>
      </c>
      <c r="D6" s="11" t="s">
        <v>482</v>
      </c>
      <c r="F6" s="11" t="s">
        <v>333</v>
      </c>
      <c r="G6" s="108">
        <v>175.0</v>
      </c>
      <c r="H6" s="11" t="s">
        <v>483</v>
      </c>
      <c r="J6" s="11" t="s">
        <v>333</v>
      </c>
      <c r="K6" s="11">
        <v>175.0</v>
      </c>
      <c r="L6" s="11" t="s">
        <v>484</v>
      </c>
      <c r="N6" s="11" t="s">
        <v>333</v>
      </c>
      <c r="O6" s="11">
        <v>175.0</v>
      </c>
      <c r="P6" s="11" t="s">
        <v>485</v>
      </c>
      <c r="R6" s="11" t="s">
        <v>333</v>
      </c>
      <c r="S6" s="11">
        <v>175.0</v>
      </c>
      <c r="T6" s="11" t="s">
        <v>486</v>
      </c>
      <c r="V6" s="11" t="s">
        <v>333</v>
      </c>
      <c r="W6" s="11">
        <v>175.0</v>
      </c>
      <c r="X6" s="11" t="s">
        <v>487</v>
      </c>
      <c r="Z6" s="11" t="s">
        <v>333</v>
      </c>
      <c r="AA6" s="11">
        <v>150.0</v>
      </c>
      <c r="AB6" s="11" t="s">
        <v>488</v>
      </c>
      <c r="AD6" s="11" t="s">
        <v>333</v>
      </c>
      <c r="AE6" s="235">
        <v>150.0</v>
      </c>
      <c r="AF6" s="11" t="s">
        <v>489</v>
      </c>
      <c r="AH6" s="11" t="s">
        <v>333</v>
      </c>
      <c r="AI6" s="11">
        <v>175.0</v>
      </c>
      <c r="AJ6" s="11" t="s">
        <v>490</v>
      </c>
      <c r="AL6" s="11" t="s">
        <v>333</v>
      </c>
      <c r="AM6" s="11">
        <v>150.0</v>
      </c>
      <c r="AN6" s="11" t="s">
        <v>491</v>
      </c>
      <c r="AP6" s="11" t="s">
        <v>333</v>
      </c>
      <c r="AQ6" s="11">
        <v>175.0</v>
      </c>
      <c r="AR6" s="11" t="s">
        <v>492</v>
      </c>
      <c r="AT6" s="11" t="s">
        <v>333</v>
      </c>
      <c r="AU6" s="11">
        <v>150.0</v>
      </c>
      <c r="AV6" s="11" t="s">
        <v>493</v>
      </c>
      <c r="AX6" s="11" t="s">
        <v>333</v>
      </c>
      <c r="AY6" s="11">
        <v>150.0</v>
      </c>
      <c r="AZ6" s="11" t="s">
        <v>494</v>
      </c>
      <c r="BB6" s="11" t="s">
        <v>333</v>
      </c>
      <c r="BC6" s="11">
        <v>175.0</v>
      </c>
      <c r="BD6" s="11" t="s">
        <v>495</v>
      </c>
      <c r="BF6" s="11" t="s">
        <v>333</v>
      </c>
      <c r="BG6" s="11">
        <v>150.0</v>
      </c>
      <c r="BH6" s="11" t="s">
        <v>496</v>
      </c>
      <c r="BJ6" s="11" t="s">
        <v>333</v>
      </c>
      <c r="BK6" s="11">
        <v>175.0</v>
      </c>
      <c r="BL6" s="11" t="s">
        <v>497</v>
      </c>
      <c r="BN6" s="11" t="s">
        <v>333</v>
      </c>
      <c r="BO6" s="11">
        <v>150.0</v>
      </c>
      <c r="BP6" s="11" t="s">
        <v>498</v>
      </c>
      <c r="BR6" s="11" t="s">
        <v>333</v>
      </c>
      <c r="BS6" s="11">
        <v>150.0</v>
      </c>
      <c r="BT6" s="11" t="s">
        <v>499</v>
      </c>
      <c r="BV6" s="11" t="s">
        <v>333</v>
      </c>
      <c r="BW6" s="11">
        <v>150.0</v>
      </c>
      <c r="BX6" s="11" t="s">
        <v>500</v>
      </c>
    </row>
    <row r="7" ht="12.0" customHeight="1">
      <c r="B7" s="11" t="s">
        <v>501</v>
      </c>
      <c r="C7" s="108">
        <f>'Design Calculator'!H55</f>
        <v>4.5</v>
      </c>
      <c r="D7" s="11" t="s">
        <v>502</v>
      </c>
      <c r="F7" s="11" t="s">
        <v>501</v>
      </c>
      <c r="G7" s="108">
        <v>1.6</v>
      </c>
      <c r="H7" s="11" t="s">
        <v>503</v>
      </c>
      <c r="J7" s="11" t="s">
        <v>501</v>
      </c>
      <c r="K7" s="11">
        <v>2.0</v>
      </c>
      <c r="L7" s="11" t="s">
        <v>504</v>
      </c>
      <c r="N7" s="11" t="s">
        <v>501</v>
      </c>
      <c r="O7" s="11">
        <v>2.2</v>
      </c>
      <c r="P7" s="11" t="s">
        <v>505</v>
      </c>
      <c r="R7" s="11" t="s">
        <v>501</v>
      </c>
      <c r="S7" s="11">
        <v>2.3</v>
      </c>
      <c r="T7" s="11" t="s">
        <v>506</v>
      </c>
      <c r="V7" s="11" t="s">
        <v>501</v>
      </c>
      <c r="W7" s="11">
        <v>3.1</v>
      </c>
      <c r="X7" s="11" t="s">
        <v>507</v>
      </c>
      <c r="Z7" s="11" t="s">
        <v>501</v>
      </c>
      <c r="AA7" s="11">
        <v>3.2</v>
      </c>
      <c r="AB7" s="11" t="s">
        <v>508</v>
      </c>
      <c r="AD7" s="11" t="s">
        <v>501</v>
      </c>
      <c r="AE7" s="11">
        <v>3.4</v>
      </c>
      <c r="AF7" s="11" t="s">
        <v>509</v>
      </c>
      <c r="AH7" s="11" t="s">
        <v>501</v>
      </c>
      <c r="AI7" s="11">
        <v>4.0</v>
      </c>
      <c r="AJ7" s="11" t="s">
        <v>510</v>
      </c>
      <c r="AL7" s="11" t="s">
        <v>501</v>
      </c>
      <c r="AM7" s="11">
        <v>4.1</v>
      </c>
      <c r="AN7" s="11" t="s">
        <v>511</v>
      </c>
      <c r="AP7" s="11" t="s">
        <v>501</v>
      </c>
      <c r="AQ7" s="11">
        <v>4.2</v>
      </c>
      <c r="AR7" s="11" t="s">
        <v>512</v>
      </c>
      <c r="AT7" s="11" t="s">
        <v>501</v>
      </c>
      <c r="AU7" s="11">
        <v>4.6</v>
      </c>
      <c r="AV7" s="11" t="s">
        <v>513</v>
      </c>
      <c r="AX7" s="11" t="s">
        <v>501</v>
      </c>
      <c r="AY7" s="11">
        <v>5.9</v>
      </c>
      <c r="AZ7" s="11" t="s">
        <v>514</v>
      </c>
      <c r="BB7" s="11" t="s">
        <v>501</v>
      </c>
      <c r="BC7" s="11">
        <v>6.6</v>
      </c>
      <c r="BD7" s="11" t="s">
        <v>515</v>
      </c>
      <c r="BF7" s="11" t="s">
        <v>501</v>
      </c>
      <c r="BG7" s="11">
        <v>6.8</v>
      </c>
      <c r="BH7" s="11" t="s">
        <v>516</v>
      </c>
      <c r="BJ7" s="11" t="s">
        <v>501</v>
      </c>
      <c r="BK7" s="11">
        <v>9.2</v>
      </c>
      <c r="BL7" s="11" t="s">
        <v>517</v>
      </c>
      <c r="BN7" s="11" t="s">
        <v>501</v>
      </c>
      <c r="BO7" s="11">
        <v>9.8</v>
      </c>
      <c r="BP7" s="11" t="s">
        <v>518</v>
      </c>
      <c r="BR7" s="11" t="s">
        <v>501</v>
      </c>
      <c r="BS7" s="11">
        <v>9.9</v>
      </c>
      <c r="BT7" s="11" t="s">
        <v>519</v>
      </c>
      <c r="BV7" s="11" t="s">
        <v>501</v>
      </c>
      <c r="BW7" s="11">
        <v>13.0</v>
      </c>
      <c r="BX7" s="11" t="s">
        <v>520</v>
      </c>
    </row>
    <row r="8" ht="12.0" customHeight="1">
      <c r="F8" s="11"/>
      <c r="H8" s="11"/>
      <c r="J8" s="11"/>
      <c r="K8" s="11"/>
      <c r="L8" s="11"/>
      <c r="N8" s="11"/>
      <c r="O8" s="11"/>
      <c r="P8" s="11"/>
      <c r="R8" s="11"/>
      <c r="S8" s="11"/>
      <c r="T8" s="11"/>
      <c r="V8" s="11"/>
      <c r="W8" s="11"/>
      <c r="X8" s="11"/>
      <c r="Z8" s="11"/>
      <c r="AA8" s="11"/>
      <c r="AB8" s="11"/>
      <c r="AD8" s="11"/>
      <c r="AE8" s="11"/>
      <c r="AF8" s="11"/>
      <c r="AH8" s="11"/>
      <c r="AI8" s="11"/>
      <c r="AJ8" s="11"/>
      <c r="AL8" s="11"/>
      <c r="AM8" s="11"/>
      <c r="AN8" s="11"/>
      <c r="AP8" s="11"/>
      <c r="AQ8" s="11"/>
      <c r="AR8" s="11"/>
      <c r="AT8" s="11"/>
      <c r="AU8" s="11"/>
      <c r="AV8" s="11"/>
      <c r="AX8" s="11"/>
      <c r="AY8" s="11"/>
      <c r="AZ8" s="11"/>
      <c r="BB8" s="11"/>
      <c r="BC8" s="11"/>
      <c r="BD8" s="11"/>
      <c r="BF8" s="11"/>
      <c r="BG8" s="11"/>
      <c r="BH8" s="11"/>
      <c r="BJ8" s="11"/>
      <c r="BK8" s="11"/>
      <c r="BL8" s="11"/>
      <c r="BN8" s="11"/>
      <c r="BO8" s="11"/>
      <c r="BP8" s="11"/>
      <c r="BR8" s="11"/>
      <c r="BS8" s="11"/>
      <c r="BT8" s="11"/>
      <c r="BV8" s="11"/>
      <c r="BW8" s="11"/>
      <c r="BX8" s="11"/>
    </row>
    <row r="9" ht="12.0" customHeight="1">
      <c r="B9" s="11" t="s">
        <v>521</v>
      </c>
      <c r="F9" s="11" t="s">
        <v>521</v>
      </c>
      <c r="H9" s="11"/>
      <c r="J9" s="11" t="s">
        <v>521</v>
      </c>
      <c r="K9" s="11"/>
      <c r="L9" s="11"/>
      <c r="N9" s="11" t="s">
        <v>521</v>
      </c>
      <c r="O9" s="11"/>
      <c r="P9" s="11"/>
      <c r="R9" s="11" t="s">
        <v>521</v>
      </c>
      <c r="S9" s="11"/>
      <c r="T9" s="11"/>
      <c r="V9" s="11" t="s">
        <v>521</v>
      </c>
      <c r="W9" s="11"/>
      <c r="X9" s="11"/>
      <c r="Z9" s="11" t="s">
        <v>521</v>
      </c>
      <c r="AA9" s="11"/>
      <c r="AB9" s="11"/>
      <c r="AD9" s="11" t="s">
        <v>521</v>
      </c>
      <c r="AE9" s="11"/>
      <c r="AF9" s="11"/>
      <c r="AH9" s="11" t="s">
        <v>521</v>
      </c>
      <c r="AI9" s="11"/>
      <c r="AJ9" s="11"/>
      <c r="AL9" s="11" t="s">
        <v>521</v>
      </c>
      <c r="AM9" s="11"/>
      <c r="AN9" s="11"/>
      <c r="AP9" s="11" t="s">
        <v>521</v>
      </c>
      <c r="AQ9" s="11"/>
      <c r="AR9" s="11"/>
      <c r="AT9" s="11" t="s">
        <v>521</v>
      </c>
      <c r="AU9" s="11"/>
      <c r="AV9" s="11"/>
      <c r="AX9" s="11" t="s">
        <v>521</v>
      </c>
      <c r="AY9" s="11"/>
      <c r="AZ9" s="11"/>
      <c r="BB9" s="11" t="s">
        <v>521</v>
      </c>
      <c r="BC9" s="11"/>
      <c r="BD9" s="11"/>
      <c r="BF9" s="11" t="s">
        <v>521</v>
      </c>
      <c r="BG9" s="11"/>
      <c r="BH9" s="11"/>
      <c r="BJ9" s="11" t="s">
        <v>521</v>
      </c>
      <c r="BK9" s="11"/>
      <c r="BL9" s="11"/>
      <c r="BN9" s="11" t="s">
        <v>521</v>
      </c>
      <c r="BO9" s="11"/>
      <c r="BP9" s="11"/>
      <c r="BR9" s="11" t="s">
        <v>521</v>
      </c>
      <c r="BS9" s="11"/>
      <c r="BT9" s="11"/>
      <c r="BV9" s="11" t="s">
        <v>521</v>
      </c>
      <c r="BW9" s="11"/>
      <c r="BX9" s="11"/>
    </row>
    <row r="10" ht="12.0" customHeight="1">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row>
    <row r="11" ht="12.0" customHeight="1">
      <c r="B11" s="108">
        <v>70.0</v>
      </c>
      <c r="F11" s="11">
        <v>70.0</v>
      </c>
      <c r="G11" s="108">
        <v>1.23</v>
      </c>
      <c r="H11" s="11"/>
      <c r="J11" s="11">
        <v>70.0</v>
      </c>
      <c r="K11" s="11">
        <v>1.23</v>
      </c>
      <c r="L11" s="11"/>
      <c r="N11" s="11">
        <v>70.0</v>
      </c>
      <c r="O11" s="11">
        <v>1.24</v>
      </c>
      <c r="P11" s="11"/>
      <c r="R11" s="11">
        <v>70.0</v>
      </c>
      <c r="S11" s="11">
        <v>1.26</v>
      </c>
      <c r="T11" s="11"/>
      <c r="V11" s="11">
        <v>70.0</v>
      </c>
      <c r="W11" s="11">
        <v>1.26</v>
      </c>
      <c r="X11" s="11"/>
      <c r="Z11" s="11">
        <v>70.0</v>
      </c>
      <c r="AA11" s="11">
        <v>1.33</v>
      </c>
      <c r="AB11" s="11"/>
      <c r="AD11" s="11">
        <v>70.0</v>
      </c>
      <c r="AE11" s="11">
        <v>1.31</v>
      </c>
      <c r="AF11" s="11"/>
      <c r="AH11" s="11">
        <v>70.0</v>
      </c>
      <c r="AI11" s="11">
        <v>1.26</v>
      </c>
      <c r="AJ11" s="11"/>
      <c r="AL11" s="11">
        <v>70.0</v>
      </c>
      <c r="AM11" s="11">
        <v>1.28</v>
      </c>
      <c r="AN11" s="11"/>
      <c r="AP11" s="11">
        <v>70.0</v>
      </c>
      <c r="AQ11" s="11">
        <v>1.27</v>
      </c>
      <c r="AR11" s="11"/>
      <c r="AT11" s="11">
        <v>70.0</v>
      </c>
      <c r="AU11" s="11">
        <v>1.3</v>
      </c>
      <c r="AV11" s="11"/>
      <c r="AX11" s="11">
        <v>70.0</v>
      </c>
      <c r="AY11" s="11">
        <v>1.29</v>
      </c>
      <c r="AZ11" s="11"/>
      <c r="BB11" s="11">
        <v>70.0</v>
      </c>
      <c r="BC11" s="11">
        <v>1.27</v>
      </c>
      <c r="BD11" s="11"/>
      <c r="BF11" s="11">
        <v>70.0</v>
      </c>
      <c r="BG11" s="11">
        <v>1.31</v>
      </c>
      <c r="BH11" s="11"/>
      <c r="BJ11" s="11">
        <v>70.0</v>
      </c>
      <c r="BK11" s="11">
        <v>1.32</v>
      </c>
      <c r="BL11" s="11"/>
      <c r="BN11" s="11">
        <v>70.0</v>
      </c>
      <c r="BO11" s="11">
        <v>1.29</v>
      </c>
      <c r="BP11" s="11"/>
      <c r="BR11" s="11">
        <v>70.0</v>
      </c>
      <c r="BS11" s="11">
        <v>1.27</v>
      </c>
      <c r="BT11" s="11"/>
      <c r="BV11" s="11">
        <v>70.0</v>
      </c>
      <c r="BW11" s="11">
        <v>1.33</v>
      </c>
      <c r="BX11" s="11"/>
    </row>
    <row r="12" ht="12.0" customHeight="1">
      <c r="B12" s="108">
        <v>75.0</v>
      </c>
      <c r="F12" s="11">
        <v>75.0</v>
      </c>
      <c r="G12" s="108">
        <v>1.26</v>
      </c>
      <c r="H12" s="11"/>
      <c r="J12" s="11">
        <v>75.0</v>
      </c>
      <c r="K12" s="11">
        <v>1.26</v>
      </c>
      <c r="L12" s="11"/>
      <c r="N12" s="11">
        <v>75.0</v>
      </c>
      <c r="O12" s="11">
        <v>1.26</v>
      </c>
      <c r="P12" s="11"/>
      <c r="R12" s="11">
        <v>75.0</v>
      </c>
      <c r="S12" s="11">
        <v>1.29</v>
      </c>
      <c r="T12" s="11"/>
      <c r="V12" s="11">
        <v>75.0</v>
      </c>
      <c r="W12" s="11">
        <v>1.29</v>
      </c>
      <c r="X12" s="11"/>
      <c r="Z12" s="11">
        <v>75.0</v>
      </c>
      <c r="AA12" s="11">
        <v>1.37</v>
      </c>
      <c r="AB12" s="11"/>
      <c r="AD12" s="11">
        <v>75.0</v>
      </c>
      <c r="AE12" s="11">
        <v>1.35</v>
      </c>
      <c r="AF12" s="11"/>
      <c r="AH12" s="11">
        <v>75.0</v>
      </c>
      <c r="AI12" s="11">
        <v>1.3</v>
      </c>
      <c r="AJ12" s="11"/>
      <c r="AL12" s="11">
        <v>75.0</v>
      </c>
      <c r="AM12" s="11">
        <v>1.31</v>
      </c>
      <c r="AN12" s="11"/>
      <c r="AP12" s="11">
        <v>75.0</v>
      </c>
      <c r="AQ12" s="11">
        <v>1.3</v>
      </c>
      <c r="AR12" s="11"/>
      <c r="AT12" s="11">
        <v>75.0</v>
      </c>
      <c r="AU12" s="11">
        <v>1.33</v>
      </c>
      <c r="AV12" s="11"/>
      <c r="AX12" s="11">
        <v>75.0</v>
      </c>
      <c r="AY12" s="11">
        <v>1.33</v>
      </c>
      <c r="AZ12" s="11"/>
      <c r="BB12" s="11">
        <v>75.0</v>
      </c>
      <c r="BC12" s="11">
        <v>1.3</v>
      </c>
      <c r="BD12" s="11"/>
      <c r="BF12" s="11">
        <v>75.0</v>
      </c>
      <c r="BG12" s="11">
        <v>1.35</v>
      </c>
      <c r="BH12" s="11"/>
      <c r="BJ12" s="11">
        <v>75.0</v>
      </c>
      <c r="BK12" s="11">
        <v>1.36</v>
      </c>
      <c r="BL12" s="11"/>
      <c r="BN12" s="11">
        <v>75.0</v>
      </c>
      <c r="BO12" s="11">
        <v>1.32</v>
      </c>
      <c r="BP12" s="11"/>
      <c r="BR12" s="11">
        <v>75.0</v>
      </c>
      <c r="BS12" s="11">
        <v>1.3</v>
      </c>
      <c r="BT12" s="11"/>
      <c r="BV12" s="11">
        <v>75.0</v>
      </c>
      <c r="BW12" s="11">
        <v>1.37</v>
      </c>
      <c r="BX12" s="11"/>
    </row>
    <row r="13" ht="12.0" customHeight="1">
      <c r="B13" s="108">
        <v>80.0</v>
      </c>
      <c r="F13" s="11">
        <v>80.0</v>
      </c>
      <c r="G13" s="108">
        <v>1.28</v>
      </c>
      <c r="H13" s="11"/>
      <c r="J13" s="11">
        <v>80.0</v>
      </c>
      <c r="K13" s="11">
        <v>1.29</v>
      </c>
      <c r="L13" s="11"/>
      <c r="N13" s="11">
        <v>80.0</v>
      </c>
      <c r="O13" s="11">
        <v>1.29</v>
      </c>
      <c r="P13" s="11"/>
      <c r="R13" s="11">
        <v>80.0</v>
      </c>
      <c r="S13" s="11">
        <v>1.32</v>
      </c>
      <c r="T13" s="11"/>
      <c r="V13" s="11">
        <v>80.0</v>
      </c>
      <c r="W13" s="11">
        <v>1.32</v>
      </c>
      <c r="X13" s="11"/>
      <c r="Z13" s="11">
        <v>80.0</v>
      </c>
      <c r="AA13" s="11">
        <v>1.41</v>
      </c>
      <c r="AB13" s="11"/>
      <c r="AD13" s="11">
        <v>80.0</v>
      </c>
      <c r="AE13" s="11">
        <v>1.39</v>
      </c>
      <c r="AF13" s="11"/>
      <c r="AH13" s="11">
        <v>80.0</v>
      </c>
      <c r="AI13" s="11">
        <v>1.33</v>
      </c>
      <c r="AJ13" s="11"/>
      <c r="AL13" s="11">
        <v>80.0</v>
      </c>
      <c r="AM13" s="11">
        <v>1.35</v>
      </c>
      <c r="AN13" s="11"/>
      <c r="AP13" s="11">
        <v>80.0</v>
      </c>
      <c r="AQ13" s="11">
        <v>1.34</v>
      </c>
      <c r="AR13" s="11"/>
      <c r="AT13" s="11">
        <v>80.0</v>
      </c>
      <c r="AU13" s="11">
        <v>1.36</v>
      </c>
      <c r="AV13" s="11"/>
      <c r="AX13" s="11">
        <v>80.0</v>
      </c>
      <c r="AY13" s="11">
        <v>1.36</v>
      </c>
      <c r="AZ13" s="11"/>
      <c r="BB13" s="11">
        <v>80.0</v>
      </c>
      <c r="BC13" s="11">
        <v>1.33</v>
      </c>
      <c r="BD13" s="11"/>
      <c r="BF13" s="11">
        <v>80.0</v>
      </c>
      <c r="BG13" s="11">
        <v>1.39</v>
      </c>
      <c r="BH13" s="11"/>
      <c r="BJ13" s="11">
        <v>80.0</v>
      </c>
      <c r="BK13" s="11">
        <v>1.41</v>
      </c>
      <c r="BL13" s="11"/>
      <c r="BN13" s="11">
        <v>80.0</v>
      </c>
      <c r="BO13" s="11">
        <v>1.36</v>
      </c>
      <c r="BP13" s="11"/>
      <c r="BR13" s="11">
        <v>80.0</v>
      </c>
      <c r="BS13" s="11">
        <v>1.33</v>
      </c>
      <c r="BT13" s="11"/>
      <c r="BV13" s="11">
        <v>80.0</v>
      </c>
      <c r="BW13" s="11">
        <v>1.41</v>
      </c>
      <c r="BX13" s="11"/>
    </row>
    <row r="14" ht="12.0" customHeight="1">
      <c r="B14" s="11">
        <v>85.0</v>
      </c>
      <c r="F14" s="11">
        <v>85.0</v>
      </c>
      <c r="G14" s="108">
        <v>1.31</v>
      </c>
      <c r="H14" s="11"/>
      <c r="J14" s="11">
        <v>85.0</v>
      </c>
      <c r="K14" s="11">
        <v>1.31</v>
      </c>
      <c r="L14" s="11"/>
      <c r="N14" s="11">
        <v>85.0</v>
      </c>
      <c r="O14" s="11">
        <v>1.32</v>
      </c>
      <c r="P14" s="11"/>
      <c r="R14" s="11">
        <v>85.0</v>
      </c>
      <c r="S14" s="11">
        <v>1.35</v>
      </c>
      <c r="T14" s="11"/>
      <c r="V14" s="11">
        <v>85.0</v>
      </c>
      <c r="W14" s="11">
        <v>1.36</v>
      </c>
      <c r="X14" s="11"/>
      <c r="Z14" s="11">
        <v>85.0</v>
      </c>
      <c r="AA14" s="11">
        <v>1.46</v>
      </c>
      <c r="AB14" s="11"/>
      <c r="AD14" s="11">
        <v>85.0</v>
      </c>
      <c r="AE14" s="11">
        <v>1.43</v>
      </c>
      <c r="AF14" s="11"/>
      <c r="AH14" s="11">
        <v>85.0</v>
      </c>
      <c r="AI14" s="11">
        <v>1.36</v>
      </c>
      <c r="AJ14" s="11"/>
      <c r="AL14" s="11">
        <v>85.0</v>
      </c>
      <c r="AM14" s="11">
        <v>1.38</v>
      </c>
      <c r="AN14" s="11"/>
      <c r="AP14" s="11">
        <v>85.0</v>
      </c>
      <c r="AQ14" s="11">
        <v>1.37</v>
      </c>
      <c r="AR14" s="11"/>
      <c r="AT14" s="11">
        <v>85.0</v>
      </c>
      <c r="AU14" s="11">
        <v>1.4</v>
      </c>
      <c r="AV14" s="11"/>
      <c r="AX14" s="11">
        <v>85.0</v>
      </c>
      <c r="AY14" s="11">
        <v>1.4</v>
      </c>
      <c r="AZ14" s="11"/>
      <c r="BB14" s="11">
        <v>85.0</v>
      </c>
      <c r="BC14" s="11">
        <v>1.37</v>
      </c>
      <c r="BD14" s="11"/>
      <c r="BF14" s="11">
        <v>85.0</v>
      </c>
      <c r="BG14" s="11">
        <v>1.43</v>
      </c>
      <c r="BH14" s="11"/>
      <c r="BJ14" s="11">
        <v>85.0</v>
      </c>
      <c r="BK14" s="11">
        <v>1.45</v>
      </c>
      <c r="BL14" s="11"/>
      <c r="BN14" s="11">
        <v>85.0</v>
      </c>
      <c r="BO14" s="11">
        <v>1.39</v>
      </c>
      <c r="BP14" s="11"/>
      <c r="BR14" s="11">
        <v>85.0</v>
      </c>
      <c r="BS14" s="11">
        <v>1.36</v>
      </c>
      <c r="BT14" s="11"/>
      <c r="BV14" s="11">
        <v>85.0</v>
      </c>
      <c r="BW14" s="11">
        <v>1.45</v>
      </c>
      <c r="BX14" s="11"/>
    </row>
    <row r="15" ht="12.0" customHeight="1">
      <c r="B15" s="11">
        <v>90.0</v>
      </c>
      <c r="F15" s="11">
        <v>90.0</v>
      </c>
      <c r="G15" s="11">
        <v>1.34</v>
      </c>
      <c r="H15" s="11"/>
      <c r="J15" s="11">
        <v>90.0</v>
      </c>
      <c r="K15" s="11">
        <v>1.34</v>
      </c>
      <c r="L15" s="11"/>
      <c r="N15" s="11">
        <v>90.0</v>
      </c>
      <c r="O15" s="11">
        <v>1.35</v>
      </c>
      <c r="P15" s="11"/>
      <c r="R15" s="11">
        <v>90.0</v>
      </c>
      <c r="S15" s="11">
        <v>1.38</v>
      </c>
      <c r="T15" s="11"/>
      <c r="V15" s="11">
        <v>90.0</v>
      </c>
      <c r="W15" s="11">
        <v>1.39</v>
      </c>
      <c r="X15" s="11"/>
      <c r="Z15" s="11">
        <v>90.0</v>
      </c>
      <c r="AA15" s="11">
        <v>1.5</v>
      </c>
      <c r="AB15" s="11"/>
      <c r="AD15" s="11">
        <v>90.0</v>
      </c>
      <c r="AE15" s="11">
        <v>1.47</v>
      </c>
      <c r="AF15" s="11"/>
      <c r="AH15" s="11">
        <v>90.0</v>
      </c>
      <c r="AI15" s="11">
        <v>1.4</v>
      </c>
      <c r="AJ15" s="11"/>
      <c r="AL15" s="11">
        <v>90.0</v>
      </c>
      <c r="AM15" s="11">
        <v>1.41</v>
      </c>
      <c r="AN15" s="11"/>
      <c r="AP15" s="11">
        <v>90.0</v>
      </c>
      <c r="AQ15" s="11">
        <v>1.4</v>
      </c>
      <c r="AR15" s="11"/>
      <c r="AT15" s="11">
        <v>90.0</v>
      </c>
      <c r="AU15" s="11">
        <v>1.43</v>
      </c>
      <c r="AV15" s="11"/>
      <c r="AX15" s="11">
        <v>90.0</v>
      </c>
      <c r="AY15" s="11">
        <v>1.43</v>
      </c>
      <c r="AZ15" s="11"/>
      <c r="BB15" s="11">
        <v>90.0</v>
      </c>
      <c r="BC15" s="11">
        <v>1.4</v>
      </c>
      <c r="BD15" s="11"/>
      <c r="BF15" s="11">
        <v>90.0</v>
      </c>
      <c r="BG15" s="11">
        <v>1.47</v>
      </c>
      <c r="BH15" s="11"/>
      <c r="BJ15" s="11">
        <v>90.0</v>
      </c>
      <c r="BK15" s="11">
        <v>1.49</v>
      </c>
      <c r="BL15" s="11"/>
      <c r="BN15" s="11">
        <v>90.0</v>
      </c>
      <c r="BO15" s="11">
        <v>1.43</v>
      </c>
      <c r="BP15" s="11"/>
      <c r="BR15" s="11">
        <v>90.0</v>
      </c>
      <c r="BS15" s="11">
        <v>1.4</v>
      </c>
      <c r="BT15" s="11"/>
      <c r="BV15" s="11">
        <v>90.0</v>
      </c>
      <c r="BW15" s="11">
        <v>1.49</v>
      </c>
      <c r="BX15" s="11"/>
    </row>
    <row r="16" ht="12.0" customHeight="1">
      <c r="B16" s="11">
        <v>95.0</v>
      </c>
      <c r="F16" s="11">
        <v>95.0</v>
      </c>
      <c r="G16" s="11">
        <v>1.37</v>
      </c>
      <c r="H16" s="11"/>
      <c r="J16" s="11">
        <v>95.0</v>
      </c>
      <c r="K16" s="11">
        <v>1.37</v>
      </c>
      <c r="L16" s="11"/>
      <c r="N16" s="11">
        <v>95.0</v>
      </c>
      <c r="O16" s="11">
        <v>1.38</v>
      </c>
      <c r="P16" s="11"/>
      <c r="R16" s="11">
        <v>95.0</v>
      </c>
      <c r="S16" s="11">
        <v>1.42</v>
      </c>
      <c r="T16" s="11"/>
      <c r="V16" s="11">
        <v>95.0</v>
      </c>
      <c r="W16" s="11">
        <v>1.42</v>
      </c>
      <c r="X16" s="11"/>
      <c r="Z16" s="11">
        <v>95.0</v>
      </c>
      <c r="AA16" s="11">
        <v>1.55</v>
      </c>
      <c r="AB16" s="11"/>
      <c r="AD16" s="11">
        <v>95.0</v>
      </c>
      <c r="AE16" s="11">
        <v>1.52</v>
      </c>
      <c r="AF16" s="11"/>
      <c r="AH16" s="11">
        <v>95.0</v>
      </c>
      <c r="AI16" s="11">
        <v>1.43</v>
      </c>
      <c r="AJ16" s="11"/>
      <c r="AL16" s="11">
        <v>95.0</v>
      </c>
      <c r="AM16" s="11">
        <v>1.45</v>
      </c>
      <c r="AN16" s="11"/>
      <c r="AP16" s="11">
        <v>95.0</v>
      </c>
      <c r="AQ16" s="11">
        <v>1.44</v>
      </c>
      <c r="AR16" s="11"/>
      <c r="AT16" s="11">
        <v>95.0</v>
      </c>
      <c r="AU16" s="11">
        <v>1.47</v>
      </c>
      <c r="AV16" s="11"/>
      <c r="AX16" s="11">
        <v>95.0</v>
      </c>
      <c r="AY16" s="11">
        <v>1.47</v>
      </c>
      <c r="AZ16" s="11"/>
      <c r="BB16" s="11">
        <v>95.0</v>
      </c>
      <c r="BC16" s="11">
        <v>1.43</v>
      </c>
      <c r="BD16" s="11"/>
      <c r="BF16" s="11">
        <v>95.0</v>
      </c>
      <c r="BG16" s="11">
        <v>1.51</v>
      </c>
      <c r="BH16" s="11"/>
      <c r="BJ16" s="11">
        <v>95.0</v>
      </c>
      <c r="BK16" s="11">
        <v>1.54</v>
      </c>
      <c r="BL16" s="11"/>
      <c r="BN16" s="11">
        <v>95.0</v>
      </c>
      <c r="BO16" s="11">
        <v>1.46</v>
      </c>
      <c r="BP16" s="11"/>
      <c r="BR16" s="11">
        <v>95.0</v>
      </c>
      <c r="BS16" s="11">
        <v>1.43</v>
      </c>
      <c r="BT16" s="11"/>
      <c r="BV16" s="11">
        <v>95.0</v>
      </c>
      <c r="BW16" s="11">
        <v>1.54</v>
      </c>
      <c r="BX16" s="11"/>
    </row>
    <row r="17" ht="12.0" customHeight="1">
      <c r="B17" s="11">
        <v>100.0</v>
      </c>
      <c r="F17" s="11">
        <v>100.0</v>
      </c>
      <c r="G17" s="11">
        <v>1.4</v>
      </c>
      <c r="H17" s="11"/>
      <c r="J17" s="11">
        <v>100.0</v>
      </c>
      <c r="K17" s="11">
        <v>1.4</v>
      </c>
      <c r="L17" s="11"/>
      <c r="N17" s="11">
        <v>100.0</v>
      </c>
      <c r="O17" s="11">
        <v>1.42</v>
      </c>
      <c r="P17" s="11"/>
      <c r="R17" s="11">
        <v>100.0</v>
      </c>
      <c r="S17" s="11">
        <v>1.45</v>
      </c>
      <c r="T17" s="11"/>
      <c r="V17" s="11">
        <v>100.0</v>
      </c>
      <c r="W17" s="11">
        <v>1.46</v>
      </c>
      <c r="X17" s="11"/>
      <c r="Z17" s="11">
        <v>100.0</v>
      </c>
      <c r="AA17" s="11">
        <v>1.59</v>
      </c>
      <c r="AB17" s="11"/>
      <c r="AD17" s="11">
        <v>100.0</v>
      </c>
      <c r="AE17" s="11">
        <v>1.56</v>
      </c>
      <c r="AF17" s="11"/>
      <c r="AH17" s="11">
        <v>100.0</v>
      </c>
      <c r="AI17" s="11">
        <v>1.47</v>
      </c>
      <c r="AJ17" s="11"/>
      <c r="AL17" s="11">
        <v>100.0</v>
      </c>
      <c r="AM17" s="11">
        <v>1.48</v>
      </c>
      <c r="AN17" s="11"/>
      <c r="AP17" s="11">
        <v>100.0</v>
      </c>
      <c r="AQ17" s="11">
        <v>1.48</v>
      </c>
      <c r="AR17" s="11"/>
      <c r="AT17" s="11">
        <v>100.0</v>
      </c>
      <c r="AU17" s="11">
        <v>1.51</v>
      </c>
      <c r="AV17" s="11"/>
      <c r="AX17" s="11">
        <v>100.0</v>
      </c>
      <c r="AY17" s="11">
        <v>1.5</v>
      </c>
      <c r="AZ17" s="11"/>
      <c r="BB17" s="11">
        <v>100.0</v>
      </c>
      <c r="BC17" s="11">
        <v>1.47</v>
      </c>
      <c r="BD17" s="11"/>
      <c r="BF17" s="11">
        <v>100.0</v>
      </c>
      <c r="BG17" s="11">
        <v>1.56</v>
      </c>
      <c r="BH17" s="11"/>
      <c r="BJ17" s="11">
        <v>100.0</v>
      </c>
      <c r="BK17" s="11">
        <v>1.58</v>
      </c>
      <c r="BL17" s="11"/>
      <c r="BN17" s="11">
        <v>100.0</v>
      </c>
      <c r="BO17" s="11">
        <v>1.5</v>
      </c>
      <c r="BP17" s="11"/>
      <c r="BR17" s="11">
        <v>100.0</v>
      </c>
      <c r="BS17" s="11">
        <v>1.46</v>
      </c>
      <c r="BT17" s="11"/>
      <c r="BV17" s="11">
        <v>100.0</v>
      </c>
      <c r="BW17" s="11">
        <v>1.58</v>
      </c>
      <c r="BX17" s="11"/>
    </row>
    <row r="18" ht="12.0" customHeight="1">
      <c r="B18" s="11">
        <v>105.0</v>
      </c>
      <c r="F18" s="11">
        <v>105.0</v>
      </c>
      <c r="G18" s="11">
        <v>1.43</v>
      </c>
      <c r="H18" s="11"/>
      <c r="J18" s="11">
        <v>105.0</v>
      </c>
      <c r="K18" s="11">
        <v>1.44</v>
      </c>
      <c r="L18" s="11"/>
      <c r="N18" s="11">
        <v>105.0</v>
      </c>
      <c r="O18" s="11">
        <v>1.45</v>
      </c>
      <c r="P18" s="11"/>
      <c r="R18" s="11">
        <v>105.0</v>
      </c>
      <c r="S18" s="11">
        <v>1.48</v>
      </c>
      <c r="T18" s="11"/>
      <c r="V18" s="11">
        <v>105.0</v>
      </c>
      <c r="W18" s="11">
        <v>1.49</v>
      </c>
      <c r="X18" s="11"/>
      <c r="Z18" s="11">
        <v>105.0</v>
      </c>
      <c r="AA18" s="11">
        <v>1.64</v>
      </c>
      <c r="AB18" s="11"/>
      <c r="AD18" s="11">
        <v>105.0</v>
      </c>
      <c r="AE18" s="11">
        <v>1.61</v>
      </c>
      <c r="AF18" s="11"/>
      <c r="AH18" s="11">
        <v>105.0</v>
      </c>
      <c r="AI18" s="11">
        <v>1.5</v>
      </c>
      <c r="AJ18" s="11"/>
      <c r="AL18" s="11">
        <v>105.0</v>
      </c>
      <c r="AM18" s="11">
        <v>1.52</v>
      </c>
      <c r="AN18" s="11"/>
      <c r="AP18" s="11">
        <v>105.0</v>
      </c>
      <c r="AQ18" s="11">
        <v>1.51</v>
      </c>
      <c r="AR18" s="11"/>
      <c r="AT18" s="11">
        <v>105.0</v>
      </c>
      <c r="AU18" s="11">
        <v>1.54</v>
      </c>
      <c r="AV18" s="11"/>
      <c r="AX18" s="11">
        <v>105.0</v>
      </c>
      <c r="AY18" s="11">
        <v>1.54</v>
      </c>
      <c r="AZ18" s="11"/>
      <c r="BB18" s="11">
        <v>105.0</v>
      </c>
      <c r="BC18" s="11">
        <v>1.5</v>
      </c>
      <c r="BD18" s="11"/>
      <c r="BF18" s="11">
        <v>105.0</v>
      </c>
      <c r="BG18" s="11">
        <v>1.6</v>
      </c>
      <c r="BH18" s="11"/>
      <c r="BJ18" s="11">
        <v>105.0</v>
      </c>
      <c r="BK18" s="11">
        <v>1.63</v>
      </c>
      <c r="BL18" s="11"/>
      <c r="BN18" s="11">
        <v>105.0</v>
      </c>
      <c r="BO18" s="11">
        <v>1.54</v>
      </c>
      <c r="BP18" s="11"/>
      <c r="BR18" s="11">
        <v>105.0</v>
      </c>
      <c r="BS18" s="11">
        <v>1.5</v>
      </c>
      <c r="BT18" s="11"/>
      <c r="BV18" s="11">
        <v>105.0</v>
      </c>
      <c r="BW18" s="11">
        <v>1.63</v>
      </c>
      <c r="BX18" s="11"/>
    </row>
    <row r="19" ht="12.0" customHeight="1">
      <c r="B19" s="11">
        <v>110.0</v>
      </c>
      <c r="F19" s="11">
        <v>110.0</v>
      </c>
      <c r="G19" s="11">
        <v>1.46</v>
      </c>
      <c r="H19" s="11"/>
      <c r="J19" s="11">
        <v>110.0</v>
      </c>
      <c r="K19" s="11">
        <v>1.47</v>
      </c>
      <c r="L19" s="11"/>
      <c r="N19" s="11">
        <v>110.0</v>
      </c>
      <c r="O19" s="11">
        <v>1.48</v>
      </c>
      <c r="P19" s="11"/>
      <c r="R19" s="11">
        <v>110.0</v>
      </c>
      <c r="S19" s="11">
        <v>1.52</v>
      </c>
      <c r="T19" s="11"/>
      <c r="V19" s="11">
        <v>110.0</v>
      </c>
      <c r="W19" s="11">
        <v>1.53</v>
      </c>
      <c r="X19" s="11"/>
      <c r="Z19" s="11">
        <v>110.0</v>
      </c>
      <c r="AA19" s="11">
        <v>1.69</v>
      </c>
      <c r="AB19" s="11"/>
      <c r="AD19" s="11">
        <v>110.0</v>
      </c>
      <c r="AE19" s="11">
        <v>1.65</v>
      </c>
      <c r="AF19" s="11"/>
      <c r="AH19" s="11">
        <v>110.0</v>
      </c>
      <c r="AI19" s="11">
        <v>1.54</v>
      </c>
      <c r="AJ19" s="11"/>
      <c r="AL19" s="11">
        <v>110.0</v>
      </c>
      <c r="AM19" s="11">
        <v>1.56</v>
      </c>
      <c r="AN19" s="11"/>
      <c r="AP19" s="11">
        <v>110.0</v>
      </c>
      <c r="AQ19" s="11">
        <v>1.55</v>
      </c>
      <c r="AR19" s="11"/>
      <c r="AT19" s="11">
        <v>110.0</v>
      </c>
      <c r="AU19" s="11">
        <v>1.58</v>
      </c>
      <c r="AV19" s="11"/>
      <c r="AX19" s="11">
        <v>110.0</v>
      </c>
      <c r="AY19" s="11">
        <v>1.58</v>
      </c>
      <c r="AZ19" s="11"/>
      <c r="BB19" s="11">
        <v>110.0</v>
      </c>
      <c r="BC19" s="11">
        <v>1.54</v>
      </c>
      <c r="BD19" s="11"/>
      <c r="BF19" s="11">
        <v>110.0</v>
      </c>
      <c r="BG19" s="11">
        <v>1.65</v>
      </c>
      <c r="BH19" s="11"/>
      <c r="BJ19" s="11">
        <v>110.0</v>
      </c>
      <c r="BK19" s="11">
        <v>1.68</v>
      </c>
      <c r="BL19" s="11"/>
      <c r="BN19" s="11">
        <v>110.0</v>
      </c>
      <c r="BO19" s="11">
        <v>1.58</v>
      </c>
      <c r="BP19" s="11"/>
      <c r="BR19" s="11">
        <v>110.0</v>
      </c>
      <c r="BS19" s="11">
        <v>1.53</v>
      </c>
      <c r="BT19" s="11"/>
      <c r="BV19" s="11">
        <v>110.0</v>
      </c>
      <c r="BW19" s="11">
        <v>1.67</v>
      </c>
      <c r="BX19" s="11"/>
    </row>
    <row r="20" ht="12.0" customHeight="1">
      <c r="B20" s="11">
        <v>115.0</v>
      </c>
      <c r="F20" s="11">
        <v>115.0</v>
      </c>
      <c r="G20" s="11">
        <v>1.49</v>
      </c>
      <c r="H20" s="11"/>
      <c r="J20" s="11">
        <v>115.0</v>
      </c>
      <c r="K20" s="11">
        <v>1.5</v>
      </c>
      <c r="L20" s="11"/>
      <c r="N20" s="11">
        <v>115.0</v>
      </c>
      <c r="O20" s="11">
        <v>1.51</v>
      </c>
      <c r="P20" s="11"/>
      <c r="R20" s="11">
        <v>115.0</v>
      </c>
      <c r="S20" s="11">
        <v>1.55</v>
      </c>
      <c r="T20" s="11"/>
      <c r="V20" s="11">
        <v>115.0</v>
      </c>
      <c r="W20" s="11">
        <v>1.56</v>
      </c>
      <c r="X20" s="11"/>
      <c r="Z20" s="11">
        <v>115.0</v>
      </c>
      <c r="AA20" s="11">
        <v>1.74</v>
      </c>
      <c r="AB20" s="11"/>
      <c r="AD20" s="11">
        <v>115.0</v>
      </c>
      <c r="AE20" s="11">
        <v>1.7</v>
      </c>
      <c r="AF20" s="11"/>
      <c r="AH20" s="11">
        <v>115.0</v>
      </c>
      <c r="AI20" s="11">
        <v>1.57</v>
      </c>
      <c r="AJ20" s="11"/>
      <c r="AL20" s="11">
        <v>115.0</v>
      </c>
      <c r="AM20" s="11">
        <v>1.59</v>
      </c>
      <c r="AN20" s="11"/>
      <c r="AP20" s="11">
        <v>115.0</v>
      </c>
      <c r="AQ20" s="11">
        <v>1.59</v>
      </c>
      <c r="AR20" s="11"/>
      <c r="AT20" s="11">
        <v>115.0</v>
      </c>
      <c r="AU20" s="11">
        <v>1.62</v>
      </c>
      <c r="AV20" s="11"/>
      <c r="AX20" s="11">
        <v>115.0</v>
      </c>
      <c r="AY20" s="11">
        <v>1.62</v>
      </c>
      <c r="AZ20" s="11"/>
      <c r="BB20" s="11">
        <v>115.0</v>
      </c>
      <c r="BC20" s="11">
        <v>1.58</v>
      </c>
      <c r="BD20" s="11"/>
      <c r="BF20" s="11">
        <v>115.0</v>
      </c>
      <c r="BG20" s="11">
        <v>1.69</v>
      </c>
      <c r="BH20" s="11"/>
      <c r="BJ20" s="11">
        <v>115.0</v>
      </c>
      <c r="BK20" s="11">
        <v>1.72</v>
      </c>
      <c r="BL20" s="11"/>
      <c r="BN20" s="11">
        <v>115.0</v>
      </c>
      <c r="BO20" s="11">
        <v>1.61</v>
      </c>
      <c r="BP20" s="11"/>
      <c r="BR20" s="11">
        <v>115.0</v>
      </c>
      <c r="BS20" s="11">
        <v>1.57</v>
      </c>
      <c r="BT20" s="11"/>
      <c r="BV20" s="11">
        <v>115.0</v>
      </c>
      <c r="BW20" s="11">
        <v>1.72</v>
      </c>
      <c r="BX20" s="11"/>
    </row>
    <row r="21" ht="12.0" customHeight="1">
      <c r="B21" s="11">
        <v>120.0</v>
      </c>
      <c r="F21" s="11">
        <v>120.0</v>
      </c>
      <c r="G21" s="11">
        <v>1.52</v>
      </c>
      <c r="H21" s="11"/>
      <c r="J21" s="11">
        <v>120.0</v>
      </c>
      <c r="K21" s="11">
        <v>1.53</v>
      </c>
      <c r="L21" s="11"/>
      <c r="N21" s="11">
        <v>120.0</v>
      </c>
      <c r="O21" s="11">
        <v>1.55</v>
      </c>
      <c r="P21" s="11"/>
      <c r="R21" s="11">
        <v>120.0</v>
      </c>
      <c r="S21" s="11">
        <v>1.59</v>
      </c>
      <c r="T21" s="11"/>
      <c r="V21" s="11">
        <v>120.0</v>
      </c>
      <c r="W21" s="11">
        <v>1.6</v>
      </c>
      <c r="X21" s="11"/>
      <c r="Z21" s="11">
        <v>120.0</v>
      </c>
      <c r="AA21" s="11">
        <v>1.79</v>
      </c>
      <c r="AB21" s="11"/>
      <c r="AD21" s="11">
        <v>120.0</v>
      </c>
      <c r="AE21" s="11">
        <v>1.75</v>
      </c>
      <c r="AF21" s="11"/>
      <c r="AH21" s="11">
        <v>120.0</v>
      </c>
      <c r="AI21" s="11">
        <v>1.61</v>
      </c>
      <c r="AJ21" s="11"/>
      <c r="AL21" s="11">
        <v>120.0</v>
      </c>
      <c r="AM21" s="11">
        <v>1.63</v>
      </c>
      <c r="AN21" s="11"/>
      <c r="AP21" s="11">
        <v>120.0</v>
      </c>
      <c r="AQ21" s="11">
        <v>1.62</v>
      </c>
      <c r="AR21" s="11"/>
      <c r="AT21" s="11">
        <v>120.0</v>
      </c>
      <c r="AU21" s="11">
        <v>1.66</v>
      </c>
      <c r="AV21" s="11"/>
      <c r="AX21" s="11">
        <v>120.0</v>
      </c>
      <c r="AY21" s="11">
        <v>1.65</v>
      </c>
      <c r="AZ21" s="11"/>
      <c r="BB21" s="11">
        <v>120.0</v>
      </c>
      <c r="BC21" s="11">
        <v>1.61</v>
      </c>
      <c r="BD21" s="11"/>
      <c r="BF21" s="11">
        <v>120.0</v>
      </c>
      <c r="BG21" s="11">
        <v>1.74</v>
      </c>
      <c r="BH21" s="11"/>
      <c r="BJ21" s="11">
        <v>120.0</v>
      </c>
      <c r="BK21" s="11">
        <v>1.77</v>
      </c>
      <c r="BL21" s="11"/>
      <c r="BN21" s="11">
        <v>120.0</v>
      </c>
      <c r="BO21" s="11">
        <v>1.65</v>
      </c>
      <c r="BP21" s="11"/>
      <c r="BR21" s="11">
        <v>120.0</v>
      </c>
      <c r="BS21" s="11">
        <v>1.6</v>
      </c>
      <c r="BT21" s="11"/>
      <c r="BV21" s="11">
        <v>120.0</v>
      </c>
      <c r="BW21" s="11">
        <v>1.77</v>
      </c>
      <c r="BX21" s="11"/>
    </row>
    <row r="22" ht="12.0" customHeight="1">
      <c r="B22" s="11">
        <v>125.0</v>
      </c>
      <c r="F22" s="11">
        <v>125.0</v>
      </c>
      <c r="G22" s="11">
        <v>1.56</v>
      </c>
      <c r="H22" s="11"/>
      <c r="J22" s="11">
        <v>125.0</v>
      </c>
      <c r="K22" s="11">
        <v>1.56</v>
      </c>
      <c r="L22" s="11"/>
      <c r="N22" s="11">
        <v>125.0</v>
      </c>
      <c r="O22" s="11">
        <v>1.58</v>
      </c>
      <c r="P22" s="11"/>
      <c r="R22" s="11">
        <v>125.0</v>
      </c>
      <c r="S22" s="11">
        <v>1.62</v>
      </c>
      <c r="T22" s="11"/>
      <c r="V22" s="11">
        <v>125.0</v>
      </c>
      <c r="W22" s="11">
        <v>1.64</v>
      </c>
      <c r="X22" s="11"/>
      <c r="Z22" s="11">
        <v>125.0</v>
      </c>
      <c r="AA22" s="11">
        <v>1.84</v>
      </c>
      <c r="AB22" s="11"/>
      <c r="AD22" s="11">
        <v>125.0</v>
      </c>
      <c r="AE22" s="11">
        <v>1.8</v>
      </c>
      <c r="AF22" s="11"/>
      <c r="AH22" s="11">
        <v>125.0</v>
      </c>
      <c r="AI22" s="11">
        <v>1.65</v>
      </c>
      <c r="AJ22" s="11"/>
      <c r="AL22" s="11">
        <v>125.0</v>
      </c>
      <c r="AM22" s="11">
        <v>1.67</v>
      </c>
      <c r="AN22" s="11"/>
      <c r="AP22" s="11">
        <v>125.0</v>
      </c>
      <c r="AQ22" s="11">
        <v>1.66</v>
      </c>
      <c r="AR22" s="11"/>
      <c r="AT22" s="11">
        <v>125.0</v>
      </c>
      <c r="AU22" s="11">
        <v>1.7</v>
      </c>
      <c r="AV22" s="11"/>
      <c r="AX22" s="11">
        <v>125.0</v>
      </c>
      <c r="AY22" s="11">
        <v>1.69</v>
      </c>
      <c r="AZ22" s="11"/>
      <c r="BB22" s="11">
        <v>125.0</v>
      </c>
      <c r="BC22" s="11">
        <v>1.65</v>
      </c>
      <c r="BD22" s="11"/>
      <c r="BF22" s="11">
        <v>125.0</v>
      </c>
      <c r="BG22" s="11">
        <v>1.79</v>
      </c>
      <c r="BH22" s="11"/>
      <c r="BJ22" s="11">
        <v>125.0</v>
      </c>
      <c r="BK22" s="11">
        <v>1.82</v>
      </c>
      <c r="BL22" s="11"/>
      <c r="BN22" s="11">
        <v>125.0</v>
      </c>
      <c r="BO22" s="11">
        <v>1.69</v>
      </c>
      <c r="BP22" s="11"/>
      <c r="BR22" s="11">
        <v>125.0</v>
      </c>
      <c r="BS22" s="11">
        <v>1.64</v>
      </c>
      <c r="BT22" s="11"/>
      <c r="BV22" s="11">
        <v>125.0</v>
      </c>
      <c r="BW22" s="11">
        <v>1.82</v>
      </c>
      <c r="BX22" s="11"/>
    </row>
    <row r="23" ht="12.0" customHeight="1">
      <c r="B23" s="11">
        <v>130.0</v>
      </c>
      <c r="F23" s="11">
        <v>130.0</v>
      </c>
      <c r="G23" s="11">
        <v>1.59</v>
      </c>
      <c r="H23" s="11"/>
      <c r="J23" s="11">
        <v>130.0</v>
      </c>
      <c r="K23" s="11">
        <v>1.6</v>
      </c>
      <c r="L23" s="11"/>
      <c r="N23" s="11">
        <v>130.0</v>
      </c>
      <c r="O23" s="11">
        <v>1.61</v>
      </c>
      <c r="P23" s="11"/>
      <c r="R23" s="11">
        <v>130.0</v>
      </c>
      <c r="S23" s="11">
        <v>1.66</v>
      </c>
      <c r="T23" s="11"/>
      <c r="V23" s="11">
        <v>130.0</v>
      </c>
      <c r="W23" s="11">
        <v>1.67</v>
      </c>
      <c r="X23" s="11"/>
      <c r="Z23" s="11">
        <v>130.0</v>
      </c>
      <c r="AA23" s="11">
        <v>1.89</v>
      </c>
      <c r="AB23" s="11"/>
      <c r="AD23" s="11">
        <v>130.0</v>
      </c>
      <c r="AE23" s="11">
        <v>1.85</v>
      </c>
      <c r="AF23" s="11"/>
      <c r="AH23" s="11">
        <v>130.0</v>
      </c>
      <c r="AI23" s="11">
        <v>1.68</v>
      </c>
      <c r="AJ23" s="11"/>
      <c r="AL23" s="11">
        <v>130.0</v>
      </c>
      <c r="AM23" s="11">
        <v>1.71</v>
      </c>
      <c r="AN23" s="11"/>
      <c r="AP23" s="11">
        <v>130.0</v>
      </c>
      <c r="AQ23" s="11">
        <v>1.7</v>
      </c>
      <c r="AR23" s="11"/>
      <c r="AT23" s="11">
        <v>130.0</v>
      </c>
      <c r="AU23" s="11">
        <v>1.73</v>
      </c>
      <c r="AV23" s="11"/>
      <c r="AX23" s="11">
        <v>130.0</v>
      </c>
      <c r="AY23" s="11">
        <v>1.73</v>
      </c>
      <c r="AZ23" s="11"/>
      <c r="BB23" s="11">
        <v>130.0</v>
      </c>
      <c r="BC23" s="11">
        <v>1.69</v>
      </c>
      <c r="BD23" s="11"/>
      <c r="BF23" s="11">
        <v>130.0</v>
      </c>
      <c r="BG23" s="11">
        <v>1.84</v>
      </c>
      <c r="BH23" s="11"/>
      <c r="BJ23" s="11">
        <v>130.0</v>
      </c>
      <c r="BK23" s="11">
        <v>1.88</v>
      </c>
      <c r="BL23" s="11"/>
      <c r="BN23" s="11">
        <v>130.0</v>
      </c>
      <c r="BO23" s="11">
        <v>1.73</v>
      </c>
      <c r="BP23" s="11"/>
      <c r="BR23" s="11">
        <v>130.0</v>
      </c>
      <c r="BS23" s="11">
        <v>1.68</v>
      </c>
      <c r="BT23" s="11"/>
      <c r="BV23" s="11">
        <v>130.0</v>
      </c>
      <c r="BW23" s="11">
        <v>1.87</v>
      </c>
      <c r="BX23" s="11"/>
    </row>
    <row r="24" ht="12.0" customHeight="1">
      <c r="F24" s="11"/>
      <c r="H24" s="11"/>
      <c r="J24" s="11"/>
      <c r="K24" s="11"/>
      <c r="L24" s="11"/>
      <c r="N24" s="11"/>
      <c r="O24" s="11"/>
      <c r="P24" s="11"/>
      <c r="R24" s="11"/>
      <c r="S24" s="11"/>
      <c r="T24" s="11"/>
      <c r="V24" s="11"/>
      <c r="W24" s="11"/>
      <c r="X24" s="11"/>
      <c r="Z24" s="11"/>
      <c r="AA24" s="11"/>
      <c r="AB24" s="11"/>
      <c r="AD24" s="11"/>
      <c r="AE24" s="11"/>
      <c r="AF24" s="11"/>
      <c r="AH24" s="11"/>
      <c r="AI24" s="11"/>
      <c r="AJ24" s="11"/>
      <c r="AL24" s="11"/>
      <c r="AM24" s="11"/>
      <c r="AN24" s="11"/>
      <c r="AP24" s="11"/>
      <c r="AQ24" s="11"/>
      <c r="AR24" s="11"/>
      <c r="AT24" s="11"/>
      <c r="AU24" s="11"/>
      <c r="AV24" s="11"/>
      <c r="AX24" s="11"/>
      <c r="AY24" s="11"/>
      <c r="AZ24" s="11"/>
      <c r="BB24" s="11"/>
      <c r="BC24" s="11"/>
      <c r="BD24" s="11"/>
      <c r="BF24" s="11"/>
      <c r="BG24" s="11"/>
      <c r="BH24" s="11"/>
      <c r="BJ24" s="11"/>
      <c r="BK24" s="11"/>
      <c r="BL24" s="11"/>
      <c r="BN24" s="11"/>
      <c r="BO24" s="11"/>
      <c r="BP24" s="11"/>
      <c r="BR24" s="11"/>
      <c r="BS24" s="11"/>
      <c r="BT24" s="11"/>
      <c r="BV24" s="11"/>
      <c r="BW24" s="11"/>
      <c r="BX24" s="11"/>
    </row>
    <row r="25" ht="12.0" customHeight="1">
      <c r="B25" s="11" t="s">
        <v>522</v>
      </c>
      <c r="C25" s="108">
        <f>IOUTMAX</f>
        <v>8</v>
      </c>
      <c r="D25" s="11" t="s">
        <v>58</v>
      </c>
      <c r="F25" s="11" t="s">
        <v>522</v>
      </c>
      <c r="G25" s="108">
        <f>IOUTMAX</f>
        <v>8</v>
      </c>
      <c r="H25" s="11" t="s">
        <v>58</v>
      </c>
      <c r="J25" s="11" t="s">
        <v>522</v>
      </c>
      <c r="K25" s="11">
        <f>IOUTMAX</f>
        <v>8</v>
      </c>
      <c r="L25" s="11" t="s">
        <v>58</v>
      </c>
      <c r="N25" s="11" t="s">
        <v>522</v>
      </c>
      <c r="O25" s="11">
        <f>IOUTMAX</f>
        <v>8</v>
      </c>
      <c r="P25" s="11" t="s">
        <v>58</v>
      </c>
      <c r="R25" s="11" t="s">
        <v>522</v>
      </c>
      <c r="S25" s="11">
        <f>IOUTMAX</f>
        <v>8</v>
      </c>
      <c r="T25" s="11" t="s">
        <v>58</v>
      </c>
      <c r="V25" s="11" t="s">
        <v>522</v>
      </c>
      <c r="W25" s="11">
        <f>IOUTMAX</f>
        <v>8</v>
      </c>
      <c r="X25" s="11" t="s">
        <v>58</v>
      </c>
      <c r="Z25" s="11" t="s">
        <v>522</v>
      </c>
      <c r="AA25" s="11">
        <f>IOUTMAX</f>
        <v>8</v>
      </c>
      <c r="AB25" s="11" t="s">
        <v>58</v>
      </c>
      <c r="AD25" s="11" t="s">
        <v>522</v>
      </c>
      <c r="AE25" s="11">
        <f>IOUTMAX</f>
        <v>8</v>
      </c>
      <c r="AF25" s="11" t="s">
        <v>58</v>
      </c>
      <c r="AH25" s="11" t="s">
        <v>522</v>
      </c>
      <c r="AI25" s="11">
        <f>IOUTMAX</f>
        <v>8</v>
      </c>
      <c r="AJ25" s="11" t="s">
        <v>58</v>
      </c>
      <c r="AL25" s="11" t="s">
        <v>522</v>
      </c>
      <c r="AM25" s="11">
        <f>IOUTMAX</f>
        <v>8</v>
      </c>
      <c r="AN25" s="11" t="s">
        <v>58</v>
      </c>
      <c r="AP25" s="11" t="s">
        <v>522</v>
      </c>
      <c r="AQ25" s="11">
        <f>IOUTMAX</f>
        <v>8</v>
      </c>
      <c r="AR25" s="11" t="s">
        <v>58</v>
      </c>
      <c r="AT25" s="11" t="s">
        <v>522</v>
      </c>
      <c r="AU25" s="11">
        <f>IOUTMAX</f>
        <v>8</v>
      </c>
      <c r="AV25" s="11" t="s">
        <v>58</v>
      </c>
      <c r="AX25" s="11" t="s">
        <v>522</v>
      </c>
      <c r="AY25" s="11">
        <f>IOUTMAX</f>
        <v>8</v>
      </c>
      <c r="AZ25" s="11" t="s">
        <v>58</v>
      </c>
      <c r="BB25" s="11" t="s">
        <v>522</v>
      </c>
      <c r="BC25" s="11">
        <f>IOUTMAX</f>
        <v>8</v>
      </c>
      <c r="BD25" s="11" t="s">
        <v>58</v>
      </c>
      <c r="BF25" s="11" t="s">
        <v>522</v>
      </c>
      <c r="BG25" s="11">
        <f>IOUTMAX</f>
        <v>8</v>
      </c>
      <c r="BH25" s="11" t="s">
        <v>58</v>
      </c>
      <c r="BJ25" s="11" t="s">
        <v>522</v>
      </c>
      <c r="BK25" s="11">
        <f>IOUTMAX</f>
        <v>8</v>
      </c>
      <c r="BL25" s="11" t="s">
        <v>58</v>
      </c>
      <c r="BN25" s="11" t="s">
        <v>522</v>
      </c>
      <c r="BO25" s="11">
        <f>IOUTMAX</f>
        <v>8</v>
      </c>
      <c r="BP25" s="11" t="s">
        <v>58</v>
      </c>
      <c r="BR25" s="11" t="s">
        <v>522</v>
      </c>
      <c r="BS25" s="11">
        <f>IOUTMAX</f>
        <v>8</v>
      </c>
      <c r="BT25" s="11" t="s">
        <v>58</v>
      </c>
      <c r="BV25" s="11" t="s">
        <v>522</v>
      </c>
      <c r="BW25" s="11">
        <f>IOUTMAX</f>
        <v>8</v>
      </c>
      <c r="BX25" s="11" t="s">
        <v>58</v>
      </c>
    </row>
    <row r="26" ht="12.0" customHeight="1">
      <c r="B26" s="11" t="s">
        <v>523</v>
      </c>
      <c r="C26" s="108">
        <f>TAMB</f>
        <v>85</v>
      </c>
      <c r="D26" s="11" t="s">
        <v>524</v>
      </c>
      <c r="F26" s="11" t="s">
        <v>523</v>
      </c>
      <c r="G26" s="108">
        <f>TAMB</f>
        <v>85</v>
      </c>
      <c r="H26" s="11" t="s">
        <v>525</v>
      </c>
      <c r="J26" s="11" t="s">
        <v>523</v>
      </c>
      <c r="K26" s="11">
        <f>TAMB</f>
        <v>85</v>
      </c>
      <c r="L26" s="11" t="s">
        <v>526</v>
      </c>
      <c r="N26" s="11" t="s">
        <v>523</v>
      </c>
      <c r="O26" s="11">
        <f>TAMB</f>
        <v>85</v>
      </c>
      <c r="P26" s="11" t="s">
        <v>527</v>
      </c>
      <c r="R26" s="11" t="s">
        <v>523</v>
      </c>
      <c r="S26" s="11">
        <f>TAMB</f>
        <v>85</v>
      </c>
      <c r="T26" s="11" t="s">
        <v>528</v>
      </c>
      <c r="V26" s="11" t="s">
        <v>523</v>
      </c>
      <c r="W26" s="11">
        <f>TAMB</f>
        <v>85</v>
      </c>
      <c r="X26" s="11" t="s">
        <v>529</v>
      </c>
      <c r="Z26" s="11" t="s">
        <v>523</v>
      </c>
      <c r="AA26" s="11">
        <f>TAMB</f>
        <v>85</v>
      </c>
      <c r="AB26" s="11" t="s">
        <v>530</v>
      </c>
      <c r="AD26" s="11" t="s">
        <v>523</v>
      </c>
      <c r="AE26" s="11">
        <f>TAMB</f>
        <v>85</v>
      </c>
      <c r="AF26" s="11" t="s">
        <v>531</v>
      </c>
      <c r="AH26" s="11" t="s">
        <v>523</v>
      </c>
      <c r="AI26" s="11">
        <f>TAMB</f>
        <v>85</v>
      </c>
      <c r="AJ26" s="11" t="s">
        <v>532</v>
      </c>
      <c r="AL26" s="11" t="s">
        <v>523</v>
      </c>
      <c r="AM26" s="11">
        <f>TAMB</f>
        <v>85</v>
      </c>
      <c r="AN26" s="11" t="s">
        <v>533</v>
      </c>
      <c r="AP26" s="11" t="s">
        <v>523</v>
      </c>
      <c r="AQ26" s="11">
        <f>TAMB</f>
        <v>85</v>
      </c>
      <c r="AR26" s="11" t="s">
        <v>534</v>
      </c>
      <c r="AT26" s="11" t="s">
        <v>523</v>
      </c>
      <c r="AU26" s="11">
        <f>TAMB</f>
        <v>85</v>
      </c>
      <c r="AV26" s="11" t="s">
        <v>535</v>
      </c>
      <c r="AX26" s="11" t="s">
        <v>523</v>
      </c>
      <c r="AY26" s="11">
        <f>TAMB</f>
        <v>85</v>
      </c>
      <c r="AZ26" s="11" t="s">
        <v>536</v>
      </c>
      <c r="BB26" s="11" t="s">
        <v>523</v>
      </c>
      <c r="BC26" s="11">
        <f>TAMB</f>
        <v>85</v>
      </c>
      <c r="BD26" s="11" t="s">
        <v>537</v>
      </c>
      <c r="BF26" s="11" t="s">
        <v>523</v>
      </c>
      <c r="BG26" s="11">
        <f>TAMB</f>
        <v>85</v>
      </c>
      <c r="BH26" s="11" t="s">
        <v>538</v>
      </c>
      <c r="BJ26" s="11" t="s">
        <v>523</v>
      </c>
      <c r="BK26" s="11">
        <f>TAMB</f>
        <v>85</v>
      </c>
      <c r="BL26" s="11" t="s">
        <v>539</v>
      </c>
      <c r="BN26" s="11" t="s">
        <v>523</v>
      </c>
      <c r="BO26" s="11">
        <f>TAMB</f>
        <v>85</v>
      </c>
      <c r="BP26" s="11" t="s">
        <v>540</v>
      </c>
      <c r="BR26" s="11" t="s">
        <v>523</v>
      </c>
      <c r="BS26" s="11">
        <f>TAMB</f>
        <v>85</v>
      </c>
      <c r="BT26" s="11" t="s">
        <v>541</v>
      </c>
      <c r="BV26" s="11" t="s">
        <v>523</v>
      </c>
      <c r="BW26" s="11">
        <f>TAMB</f>
        <v>85</v>
      </c>
      <c r="BX26" s="11" t="s">
        <v>542</v>
      </c>
    </row>
    <row r="27" ht="12.0" customHeight="1">
      <c r="B27" s="91" t="s">
        <v>543</v>
      </c>
      <c r="C27" s="108">
        <f>ThetaJA</f>
        <v>30</v>
      </c>
      <c r="D27" s="11" t="s">
        <v>544</v>
      </c>
      <c r="F27" s="91" t="s">
        <v>545</v>
      </c>
      <c r="G27" s="108">
        <f>ThetaJA</f>
        <v>30</v>
      </c>
      <c r="H27" s="11" t="s">
        <v>544</v>
      </c>
      <c r="J27" s="91" t="s">
        <v>546</v>
      </c>
      <c r="K27" s="11">
        <f>ThetaJA</f>
        <v>30</v>
      </c>
      <c r="L27" s="11" t="s">
        <v>544</v>
      </c>
      <c r="N27" s="91" t="s">
        <v>547</v>
      </c>
      <c r="O27" s="11">
        <f>ThetaJA</f>
        <v>30</v>
      </c>
      <c r="P27" s="11" t="s">
        <v>544</v>
      </c>
      <c r="R27" s="91" t="s">
        <v>548</v>
      </c>
      <c r="S27" s="11">
        <f>ThetaJA</f>
        <v>30</v>
      </c>
      <c r="T27" s="11" t="s">
        <v>544</v>
      </c>
      <c r="V27" s="91" t="s">
        <v>549</v>
      </c>
      <c r="W27" s="11">
        <f>ThetaJA</f>
        <v>30</v>
      </c>
      <c r="X27" s="11" t="s">
        <v>544</v>
      </c>
      <c r="Z27" s="91" t="s">
        <v>550</v>
      </c>
      <c r="AA27" s="11">
        <f>ThetaJA</f>
        <v>30</v>
      </c>
      <c r="AB27" s="11" t="s">
        <v>544</v>
      </c>
      <c r="AD27" s="91" t="s">
        <v>551</v>
      </c>
      <c r="AE27" s="11">
        <f>ThetaJA</f>
        <v>30</v>
      </c>
      <c r="AF27" s="11" t="s">
        <v>544</v>
      </c>
      <c r="AH27" s="91" t="s">
        <v>552</v>
      </c>
      <c r="AI27" s="11">
        <f>ThetaJA</f>
        <v>30</v>
      </c>
      <c r="AJ27" s="11" t="s">
        <v>544</v>
      </c>
      <c r="AL27" s="91" t="s">
        <v>553</v>
      </c>
      <c r="AM27" s="11">
        <f>ThetaJA</f>
        <v>30</v>
      </c>
      <c r="AN27" s="11" t="s">
        <v>544</v>
      </c>
      <c r="AP27" s="91" t="s">
        <v>554</v>
      </c>
      <c r="AQ27" s="11">
        <f>ThetaJA</f>
        <v>30</v>
      </c>
      <c r="AR27" s="11" t="s">
        <v>544</v>
      </c>
      <c r="AT27" s="91" t="s">
        <v>555</v>
      </c>
      <c r="AU27" s="11">
        <f>ThetaJA</f>
        <v>30</v>
      </c>
      <c r="AV27" s="11" t="s">
        <v>544</v>
      </c>
      <c r="AX27" s="91" t="s">
        <v>556</v>
      </c>
      <c r="AY27" s="11">
        <f>ThetaJA</f>
        <v>30</v>
      </c>
      <c r="AZ27" s="11" t="s">
        <v>544</v>
      </c>
      <c r="BB27" s="91" t="s">
        <v>557</v>
      </c>
      <c r="BC27" s="11">
        <f>ThetaJA</f>
        <v>30</v>
      </c>
      <c r="BD27" s="11" t="s">
        <v>544</v>
      </c>
      <c r="BF27" s="91" t="s">
        <v>558</v>
      </c>
      <c r="BG27" s="11">
        <f>ThetaJA</f>
        <v>30</v>
      </c>
      <c r="BH27" s="11" t="s">
        <v>544</v>
      </c>
      <c r="BJ27" s="91" t="s">
        <v>559</v>
      </c>
      <c r="BK27" s="11">
        <f>ThetaJA</f>
        <v>30</v>
      </c>
      <c r="BL27" s="11" t="s">
        <v>544</v>
      </c>
      <c r="BN27" s="91" t="s">
        <v>560</v>
      </c>
      <c r="BO27" s="11">
        <f>ThetaJA</f>
        <v>30</v>
      </c>
      <c r="BP27" s="11" t="s">
        <v>544</v>
      </c>
      <c r="BR27" s="91" t="s">
        <v>561</v>
      </c>
      <c r="BS27" s="11">
        <f>ThetaJA</f>
        <v>30</v>
      </c>
      <c r="BT27" s="11" t="s">
        <v>544</v>
      </c>
      <c r="BV27" s="91" t="s">
        <v>562</v>
      </c>
      <c r="BW27" s="11">
        <f>ThetaJA</f>
        <v>30</v>
      </c>
      <c r="BX27" s="11" t="s">
        <v>544</v>
      </c>
    </row>
    <row r="28" ht="12.0" customHeight="1">
      <c r="B28" s="91" t="s">
        <v>563</v>
      </c>
      <c r="C28" s="114">
        <f>'Design Calculator'!F25</f>
        <v>100</v>
      </c>
      <c r="D28" s="11" t="s">
        <v>564</v>
      </c>
      <c r="F28" s="91" t="s">
        <v>563</v>
      </c>
      <c r="G28" s="114">
        <f>'Design Calculator'!F25</f>
        <v>100</v>
      </c>
      <c r="H28" s="11" t="s">
        <v>565</v>
      </c>
      <c r="J28" s="91" t="s">
        <v>563</v>
      </c>
      <c r="K28" s="114">
        <f>'Design Calculator'!F25</f>
        <v>100</v>
      </c>
      <c r="L28" s="11" t="s">
        <v>566</v>
      </c>
      <c r="N28" s="91" t="s">
        <v>563</v>
      </c>
      <c r="O28" s="114">
        <f>'Design Calculator'!F25</f>
        <v>100</v>
      </c>
      <c r="P28" s="11" t="s">
        <v>567</v>
      </c>
      <c r="R28" s="91" t="s">
        <v>563</v>
      </c>
      <c r="S28" s="114">
        <f>'Design Calculator'!F25</f>
        <v>100</v>
      </c>
      <c r="T28" s="11" t="s">
        <v>568</v>
      </c>
      <c r="V28" s="91" t="s">
        <v>563</v>
      </c>
      <c r="W28" s="114">
        <f>'Design Calculator'!F25</f>
        <v>100</v>
      </c>
      <c r="X28" s="11" t="s">
        <v>569</v>
      </c>
      <c r="Z28" s="91" t="s">
        <v>563</v>
      </c>
      <c r="AA28" s="114">
        <f>'Design Calculator'!F25</f>
        <v>100</v>
      </c>
      <c r="AB28" s="11" t="s">
        <v>570</v>
      </c>
      <c r="AD28" s="91" t="s">
        <v>563</v>
      </c>
      <c r="AE28" s="114">
        <f>'Design Calculator'!F25</f>
        <v>100</v>
      </c>
      <c r="AF28" s="11" t="s">
        <v>571</v>
      </c>
      <c r="AH28" s="91" t="s">
        <v>563</v>
      </c>
      <c r="AI28" s="114">
        <f>'Design Calculator'!F25</f>
        <v>100</v>
      </c>
      <c r="AJ28" s="11" t="s">
        <v>572</v>
      </c>
      <c r="AL28" s="91" t="s">
        <v>563</v>
      </c>
      <c r="AM28" s="114">
        <f>'Design Calculator'!F25</f>
        <v>100</v>
      </c>
      <c r="AN28" s="11" t="s">
        <v>573</v>
      </c>
      <c r="AP28" s="91" t="s">
        <v>563</v>
      </c>
      <c r="AQ28" s="114">
        <f>'Design Calculator'!F25</f>
        <v>100</v>
      </c>
      <c r="AR28" s="11" t="s">
        <v>574</v>
      </c>
      <c r="AT28" s="91" t="s">
        <v>563</v>
      </c>
      <c r="AU28" s="114">
        <f>'Design Calculator'!F25</f>
        <v>100</v>
      </c>
      <c r="AV28" s="11" t="s">
        <v>575</v>
      </c>
      <c r="AX28" s="91" t="s">
        <v>563</v>
      </c>
      <c r="AY28" s="114">
        <f>'Design Calculator'!F25</f>
        <v>100</v>
      </c>
      <c r="AZ28" s="11" t="s">
        <v>576</v>
      </c>
      <c r="BB28" s="91" t="s">
        <v>563</v>
      </c>
      <c r="BC28" s="114">
        <f>'Design Calculator'!F25</f>
        <v>100</v>
      </c>
      <c r="BD28" s="11" t="s">
        <v>577</v>
      </c>
      <c r="BF28" s="91" t="s">
        <v>563</v>
      </c>
      <c r="BG28" s="114">
        <f>'Design Calculator'!F25</f>
        <v>100</v>
      </c>
      <c r="BH28" s="11" t="s">
        <v>578</v>
      </c>
      <c r="BJ28" s="91" t="s">
        <v>563</v>
      </c>
      <c r="BK28" s="114">
        <f>'Design Calculator'!F25</f>
        <v>100</v>
      </c>
      <c r="BL28" s="11" t="s">
        <v>579</v>
      </c>
      <c r="BN28" s="91" t="s">
        <v>563</v>
      </c>
      <c r="BO28" s="114">
        <f>'Design Calculator'!F25</f>
        <v>100</v>
      </c>
      <c r="BP28" s="11" t="s">
        <v>580</v>
      </c>
      <c r="BR28" s="91" t="s">
        <v>563</v>
      </c>
      <c r="BS28" s="114">
        <f>'Design Calculator'!F25</f>
        <v>100</v>
      </c>
      <c r="BT28" s="11" t="s">
        <v>581</v>
      </c>
      <c r="BV28" s="91" t="s">
        <v>563</v>
      </c>
      <c r="BW28" s="114">
        <f>'Design Calculator'!F25</f>
        <v>100</v>
      </c>
      <c r="BX28" s="11" t="s">
        <v>582</v>
      </c>
    </row>
    <row r="29" ht="12.0" customHeight="1">
      <c r="B29" s="11"/>
      <c r="D29" s="11"/>
      <c r="F29" s="11"/>
      <c r="G29" s="108">
        <f>LOOKUP(G28,F11:F23,G11:G23)</f>
        <v>1.4</v>
      </c>
      <c r="H29" s="11"/>
      <c r="J29" s="11"/>
      <c r="K29" s="11">
        <f>LOOKUP(K28,J11:J23,K11:K23)</f>
        <v>1.4</v>
      </c>
      <c r="L29" s="11"/>
      <c r="N29" s="11"/>
      <c r="O29" s="11">
        <f>LOOKUP(O28,N11:N23,O11:O23)</f>
        <v>1.42</v>
      </c>
      <c r="P29" s="11"/>
      <c r="R29" s="11"/>
      <c r="S29" s="11">
        <f>LOOKUP(S28,R11:R23,S11:S23)</f>
        <v>1.45</v>
      </c>
      <c r="T29" s="11"/>
      <c r="V29" s="11"/>
      <c r="W29" s="11">
        <f>LOOKUP(W28,V11:V23,W11:W23)</f>
        <v>1.46</v>
      </c>
      <c r="X29" s="11"/>
      <c r="Z29" s="11"/>
      <c r="AA29" s="11">
        <f>LOOKUP(AA28,Z11:Z23,AA11:AA23)</f>
        <v>1.59</v>
      </c>
      <c r="AB29" s="11"/>
      <c r="AD29" s="11"/>
      <c r="AE29" s="11">
        <f>LOOKUP(AE28,AD11:AD23,AE11:AE23)</f>
        <v>1.56</v>
      </c>
      <c r="AF29" s="11"/>
      <c r="AH29" s="11"/>
      <c r="AI29" s="11">
        <f>LOOKUP(AI28,AH11:AH23,AI11:AI23)</f>
        <v>1.47</v>
      </c>
      <c r="AJ29" s="11"/>
      <c r="AL29" s="11"/>
      <c r="AM29" s="11">
        <f>LOOKUP(AM28,AL11:AL23,AM11:AM23)</f>
        <v>1.48</v>
      </c>
      <c r="AN29" s="11"/>
      <c r="AP29" s="11"/>
      <c r="AQ29" s="11">
        <f>LOOKUP(AQ28,AP11:AP23,AQ11:AQ23)</f>
        <v>1.48</v>
      </c>
      <c r="AR29" s="11"/>
      <c r="AT29" s="11"/>
      <c r="AU29" s="11">
        <f>LOOKUP(AU28,AT11:AT23,AU11:AU23)</f>
        <v>1.51</v>
      </c>
      <c r="AV29" s="11"/>
      <c r="AX29" s="11"/>
      <c r="AY29" s="11">
        <f>LOOKUP(AY28,AX11:AX23,AY11:AY23)</f>
        <v>1.5</v>
      </c>
      <c r="AZ29" s="11"/>
      <c r="BB29" s="11"/>
      <c r="BC29" s="11">
        <f>LOOKUP(BC28,BB11:BB23,BC11:BC23)</f>
        <v>1.47</v>
      </c>
      <c r="BD29" s="11"/>
      <c r="BF29" s="11"/>
      <c r="BG29" s="11">
        <f>LOOKUP(BG28,BF11:BF23,BG11:BG23)</f>
        <v>1.56</v>
      </c>
      <c r="BH29" s="11"/>
      <c r="BJ29" s="11"/>
      <c r="BK29" s="11">
        <f>LOOKUP(BK28,BJ11:BJ23,BK11:BK23)</f>
        <v>1.58</v>
      </c>
      <c r="BL29" s="11"/>
      <c r="BN29" s="11"/>
      <c r="BO29" s="11">
        <f>LOOKUP(BO28,BN11:BN23,BO11:BO23)</f>
        <v>1.5</v>
      </c>
      <c r="BP29" s="11"/>
      <c r="BR29" s="11"/>
      <c r="BS29" s="11">
        <f>LOOKUP(BS28,BR11:BR23,BS11:BS23)</f>
        <v>1.46</v>
      </c>
      <c r="BT29" s="11"/>
      <c r="BV29" s="11"/>
      <c r="BW29" s="11">
        <f>LOOKUP(BW28,BV11:BV23,BW11:BW23)</f>
        <v>1.58</v>
      </c>
      <c r="BX29" s="11"/>
    </row>
    <row r="30" ht="12.0" customHeight="1">
      <c r="B30" s="11" t="s">
        <v>583</v>
      </c>
      <c r="C30" s="11" t="s">
        <v>584</v>
      </c>
      <c r="D30" s="11"/>
      <c r="F30" s="11" t="s">
        <v>583</v>
      </c>
      <c r="G30" s="282" t="s">
        <v>585</v>
      </c>
      <c r="H30" s="11"/>
      <c r="J30" s="11" t="s">
        <v>583</v>
      </c>
      <c r="K30" s="282" t="s">
        <v>586</v>
      </c>
      <c r="L30" s="11"/>
      <c r="N30" s="11" t="s">
        <v>583</v>
      </c>
      <c r="O30" s="282" t="s">
        <v>587</v>
      </c>
      <c r="P30" s="11"/>
      <c r="R30" s="11" t="s">
        <v>583</v>
      </c>
      <c r="S30" s="282" t="s">
        <v>588</v>
      </c>
      <c r="T30" s="11"/>
      <c r="V30" s="11" t="s">
        <v>583</v>
      </c>
      <c r="W30" s="282" t="s">
        <v>589</v>
      </c>
      <c r="X30" s="11"/>
      <c r="Z30" s="11" t="s">
        <v>583</v>
      </c>
      <c r="AA30" s="282" t="s">
        <v>590</v>
      </c>
      <c r="AB30" s="11"/>
      <c r="AD30" s="11" t="s">
        <v>583</v>
      </c>
      <c r="AE30" s="282" t="s">
        <v>591</v>
      </c>
      <c r="AF30" s="11"/>
      <c r="AH30" s="11" t="s">
        <v>583</v>
      </c>
      <c r="AI30" s="282" t="s">
        <v>592</v>
      </c>
      <c r="AJ30" s="11"/>
      <c r="AL30" s="11" t="s">
        <v>583</v>
      </c>
      <c r="AM30" s="282" t="s">
        <v>593</v>
      </c>
      <c r="AN30" s="11"/>
      <c r="AP30" s="11" t="s">
        <v>583</v>
      </c>
      <c r="AQ30" s="282" t="s">
        <v>594</v>
      </c>
      <c r="AR30" s="11"/>
      <c r="AT30" s="11" t="s">
        <v>583</v>
      </c>
      <c r="AU30" s="282" t="s">
        <v>595</v>
      </c>
      <c r="AV30" s="11"/>
      <c r="AX30" s="11" t="s">
        <v>583</v>
      </c>
      <c r="AY30" s="282" t="s">
        <v>596</v>
      </c>
      <c r="AZ30" s="11"/>
      <c r="BB30" s="11" t="s">
        <v>583</v>
      </c>
      <c r="BC30" s="282" t="s">
        <v>597</v>
      </c>
      <c r="BD30" s="11"/>
      <c r="BF30" s="11" t="s">
        <v>583</v>
      </c>
      <c r="BG30" s="282" t="s">
        <v>598</v>
      </c>
      <c r="BH30" s="11"/>
      <c r="BJ30" s="11" t="s">
        <v>583</v>
      </c>
      <c r="BK30" s="282" t="s">
        <v>599</v>
      </c>
      <c r="BL30" s="11"/>
      <c r="BN30" s="11" t="s">
        <v>583</v>
      </c>
      <c r="BO30" s="282" t="s">
        <v>600</v>
      </c>
      <c r="BP30" s="11"/>
      <c r="BR30" s="11" t="s">
        <v>583</v>
      </c>
      <c r="BS30" s="282" t="s">
        <v>601</v>
      </c>
      <c r="BT30" s="11"/>
      <c r="BV30" s="11" t="s">
        <v>583</v>
      </c>
      <c r="BW30" s="282" t="s">
        <v>602</v>
      </c>
      <c r="BX30" s="11"/>
    </row>
    <row r="31" ht="12.0" customHeight="1">
      <c r="B31" s="11" t="s">
        <v>603</v>
      </c>
      <c r="C31" s="108">
        <f>SQRT((C25*C25*C7*C27)/(1000*(C28-C26)))</f>
        <v>0.7589466384</v>
      </c>
      <c r="D31" s="11"/>
      <c r="F31" s="11" t="s">
        <v>603</v>
      </c>
      <c r="G31" s="108">
        <f>SQRT((G25*G25*G29*G7*G27)/(1000*(G28-G26)))</f>
        <v>0.535462417</v>
      </c>
      <c r="H31" s="11"/>
      <c r="J31" s="11" t="s">
        <v>603</v>
      </c>
      <c r="K31" s="11">
        <f>SQRT((K25*K25*K29*K7*K27)/(1000*(K28-K26)))</f>
        <v>0.5986651819</v>
      </c>
      <c r="L31" s="11"/>
      <c r="N31" s="11" t="s">
        <v>603</v>
      </c>
      <c r="O31" s="11">
        <f>SQRT((O25*O25*O29*O7*O27)/(1000*(O28-O26)))</f>
        <v>0.6323543311</v>
      </c>
      <c r="P31" s="11"/>
      <c r="R31" s="11" t="s">
        <v>603</v>
      </c>
      <c r="S31" s="11">
        <f>SQRT((S25*S25*S29*S7*S27)/(1000*(S28-S26)))</f>
        <v>0.6533605437</v>
      </c>
      <c r="T31" s="11"/>
      <c r="V31" s="11" t="s">
        <v>603</v>
      </c>
      <c r="W31" s="11">
        <f>SQRT((W25*W25*W29*W7*W27)/(1000*(W28-W26)))</f>
        <v>0.7611359931</v>
      </c>
      <c r="X31" s="11"/>
      <c r="Z31" s="11" t="s">
        <v>603</v>
      </c>
      <c r="AA31" s="11">
        <f>SQRT((AA25*AA25*AA29*AA7*AA27)/(1000*(AA28-AA26)))</f>
        <v>0.8070092936</v>
      </c>
      <c r="AB31" s="11"/>
      <c r="AD31" s="11" t="s">
        <v>603</v>
      </c>
      <c r="AE31" s="11">
        <f>SQRT((AE25*AE25*AE29*AE7*AE27)/(1000*(AE28-AE26)))</f>
        <v>0.8239611641</v>
      </c>
      <c r="AF31" s="11"/>
      <c r="AH31" s="11" t="s">
        <v>603</v>
      </c>
      <c r="AI31" s="11">
        <f>SQRT((AI25*AI25*AI29*AI7*AI27)/(1000*(AI28-AI26)))</f>
        <v>0.8675482696</v>
      </c>
      <c r="AJ31" s="11"/>
      <c r="AL31" s="11" t="s">
        <v>603</v>
      </c>
      <c r="AM31" s="11">
        <f>SQRT((AM25*AM25*AM29*AM7*AM27)/(1000*(AM28-AM26)))</f>
        <v>0.8813081187</v>
      </c>
      <c r="AN31" s="11"/>
      <c r="AP31" s="11" t="s">
        <v>603</v>
      </c>
      <c r="AQ31" s="11">
        <f>SQRT((AQ25*AQ25*AQ29*AQ7*AQ27)/(1000*(AQ28-AQ26)))</f>
        <v>0.8919910313</v>
      </c>
      <c r="AR31" s="11"/>
      <c r="AT31" s="11" t="s">
        <v>603</v>
      </c>
      <c r="AU31" s="11">
        <f>SQRT((AU25*AU25*AU29*AU7*AU27)/(1000*(AU28-AU26)))</f>
        <v>0.9429146303</v>
      </c>
      <c r="AV31" s="11"/>
      <c r="AX31" s="11" t="s">
        <v>603</v>
      </c>
      <c r="AY31" s="11">
        <f>SQRT((AY25*AY25*AY29*AY7*AY27)/(1000*(AY28-AY26)))</f>
        <v>1.064330776</v>
      </c>
      <c r="AZ31" s="11"/>
      <c r="BB31" s="11" t="s">
        <v>603</v>
      </c>
      <c r="BC31" s="11">
        <f>SQRT((BC25*BC25*BC29*BC7*BC27)/(1000*(BC28-BC26)))</f>
        <v>1.11438593</v>
      </c>
      <c r="BD31" s="11"/>
      <c r="BF31" s="11" t="s">
        <v>603</v>
      </c>
      <c r="BG31" s="11">
        <f>SQRT((BG25*BG25*BG29*BG7*BG27)/(1000*(BG28-BG26)))</f>
        <v>1.165257053</v>
      </c>
      <c r="BH31" s="11"/>
      <c r="BJ31" s="11" t="s">
        <v>603</v>
      </c>
      <c r="BK31" s="11">
        <f>SQRT((BK25*BK25*BK29*BK7*BK27)/(1000*(BK28-BK26)))</f>
        <v>1.364041055</v>
      </c>
      <c r="BL31" s="11"/>
      <c r="BN31" s="11" t="s">
        <v>603</v>
      </c>
      <c r="BO31" s="11">
        <f>SQRT((BO25*BO25*BO29*BO7*BO27)/(1000*(BO28-BO26)))</f>
        <v>1.371714256</v>
      </c>
      <c r="BP31" s="11"/>
      <c r="BR31" s="11" t="s">
        <v>603</v>
      </c>
      <c r="BS31" s="11">
        <f>SQRT((BS25*BS25*BS29*BS7*BS27)/(1000*(BS28-BS26)))</f>
        <v>1.360188222</v>
      </c>
      <c r="BT31" s="11"/>
      <c r="BV31" s="11" t="s">
        <v>603</v>
      </c>
      <c r="BW31" s="11">
        <f>SQRT((BW25*BW25*BW29*BW7*BW27)/(1000*(BW28-BW26)))</f>
        <v>1.621456136</v>
      </c>
      <c r="BX31" s="11"/>
    </row>
    <row r="32" ht="12.0" customHeight="1">
      <c r="B32" s="11" t="s">
        <v>604</v>
      </c>
      <c r="C32" s="108">
        <f>CEILING(C31,1)</f>
        <v>1</v>
      </c>
      <c r="D32" s="11"/>
      <c r="F32" s="11" t="s">
        <v>604</v>
      </c>
      <c r="G32" s="108">
        <f>CEILING(G31,1)</f>
        <v>1</v>
      </c>
      <c r="H32" s="11"/>
      <c r="J32" s="11" t="s">
        <v>604</v>
      </c>
      <c r="K32" s="11">
        <f>CEILING(K31,1)</f>
        <v>1</v>
      </c>
      <c r="L32" s="11"/>
      <c r="N32" s="11" t="s">
        <v>604</v>
      </c>
      <c r="O32" s="11">
        <f>CEILING(O31,1)</f>
        <v>1</v>
      </c>
      <c r="P32" s="11"/>
      <c r="R32" s="11" t="s">
        <v>604</v>
      </c>
      <c r="S32" s="11">
        <f>CEILING(S31,1)</f>
        <v>1</v>
      </c>
      <c r="T32" s="11"/>
      <c r="V32" s="11" t="s">
        <v>604</v>
      </c>
      <c r="W32" s="11">
        <f>CEILING(W31,1)</f>
        <v>1</v>
      </c>
      <c r="X32" s="11"/>
      <c r="Z32" s="11" t="s">
        <v>604</v>
      </c>
      <c r="AA32" s="11">
        <f>CEILING(AA31,1)</f>
        <v>1</v>
      </c>
      <c r="AB32" s="11"/>
      <c r="AD32" s="11" t="s">
        <v>604</v>
      </c>
      <c r="AE32" s="11">
        <f>CEILING(AE31,1)</f>
        <v>1</v>
      </c>
      <c r="AF32" s="11"/>
      <c r="AH32" s="11" t="s">
        <v>604</v>
      </c>
      <c r="AI32" s="11">
        <f>CEILING(AI31,1)</f>
        <v>1</v>
      </c>
      <c r="AJ32" s="11"/>
      <c r="AL32" s="11" t="s">
        <v>604</v>
      </c>
      <c r="AM32" s="11">
        <f>CEILING(AM31,1)</f>
        <v>1</v>
      </c>
      <c r="AN32" s="11"/>
      <c r="AP32" s="11" t="s">
        <v>604</v>
      </c>
      <c r="AQ32" s="11">
        <f>CEILING(AQ31,1)</f>
        <v>1</v>
      </c>
      <c r="AR32" s="11"/>
      <c r="AT32" s="11" t="s">
        <v>604</v>
      </c>
      <c r="AU32" s="11">
        <f>CEILING(AU31,1)</f>
        <v>1</v>
      </c>
      <c r="AV32" s="11"/>
      <c r="AX32" s="11" t="s">
        <v>604</v>
      </c>
      <c r="AY32" s="11">
        <f>CEILING(AY31,1)</f>
        <v>2</v>
      </c>
      <c r="AZ32" s="11"/>
      <c r="BB32" s="11" t="s">
        <v>604</v>
      </c>
      <c r="BC32" s="11">
        <f>CEILING(BC31,1)</f>
        <v>2</v>
      </c>
      <c r="BD32" s="11"/>
      <c r="BF32" s="11" t="s">
        <v>604</v>
      </c>
      <c r="BG32" s="11">
        <f>CEILING(BG31,1)</f>
        <v>2</v>
      </c>
      <c r="BH32" s="11"/>
      <c r="BJ32" s="11" t="s">
        <v>604</v>
      </c>
      <c r="BK32" s="11">
        <f>CEILING(BK31,1)</f>
        <v>2</v>
      </c>
      <c r="BL32" s="11"/>
      <c r="BN32" s="11" t="s">
        <v>604</v>
      </c>
      <c r="BO32" s="11">
        <f>CEILING(BO31,1)</f>
        <v>2</v>
      </c>
      <c r="BP32" s="11"/>
      <c r="BR32" s="11" t="s">
        <v>604</v>
      </c>
      <c r="BS32" s="11">
        <f>CEILING(BS31,1)</f>
        <v>2</v>
      </c>
      <c r="BT32" s="11"/>
      <c r="BV32" s="11" t="s">
        <v>604</v>
      </c>
      <c r="BW32" s="11">
        <f>CEILING(BW31,1)</f>
        <v>2</v>
      </c>
      <c r="BX32" s="11"/>
    </row>
    <row r="33" ht="12.0" customHeight="1">
      <c r="B33" s="11" t="s">
        <v>605</v>
      </c>
      <c r="C33" s="108">
        <f>C25*C25*C7/(1000*C32*C32)</f>
        <v>0.288</v>
      </c>
      <c r="D33" s="11" t="s">
        <v>88</v>
      </c>
      <c r="F33" s="11" t="s">
        <v>605</v>
      </c>
      <c r="G33" s="108">
        <f>G25*G25*G29*G7/(1000*G32*G32)</f>
        <v>0.14336</v>
      </c>
      <c r="H33" s="11" t="s">
        <v>88</v>
      </c>
      <c r="J33" s="11" t="s">
        <v>605</v>
      </c>
      <c r="K33" s="11">
        <f>K25*K25*K29*K7/(1000*K32*K32)</f>
        <v>0.1792</v>
      </c>
      <c r="L33" s="11" t="s">
        <v>88</v>
      </c>
      <c r="N33" s="11" t="s">
        <v>605</v>
      </c>
      <c r="O33" s="11">
        <f>O25*O25*O29*O7/(1000*O32*O32)</f>
        <v>0.199936</v>
      </c>
      <c r="P33" s="11" t="s">
        <v>88</v>
      </c>
      <c r="R33" s="11" t="s">
        <v>605</v>
      </c>
      <c r="S33" s="11">
        <f>S25*S25*S29*S7/(1000*S32*S32)</f>
        <v>0.21344</v>
      </c>
      <c r="T33" s="11" t="s">
        <v>88</v>
      </c>
      <c r="V33" s="11" t="s">
        <v>605</v>
      </c>
      <c r="W33" s="11">
        <f>W25*W25*W29*W7/(1000*W32*W32)</f>
        <v>0.289664</v>
      </c>
      <c r="X33" s="11" t="s">
        <v>88</v>
      </c>
      <c r="Z33" s="11" t="s">
        <v>605</v>
      </c>
      <c r="AA33" s="11">
        <f>AA25*AA25*AA29*AA7/(1000*AA32*AA32)</f>
        <v>0.325632</v>
      </c>
      <c r="AB33" s="11" t="s">
        <v>88</v>
      </c>
      <c r="AD33" s="11" t="s">
        <v>605</v>
      </c>
      <c r="AE33" s="11">
        <f>AE25*AE25*AE29*AE7/(1000*AE32*AE32)</f>
        <v>0.339456</v>
      </c>
      <c r="AF33" s="11" t="s">
        <v>88</v>
      </c>
      <c r="AH33" s="11" t="s">
        <v>605</v>
      </c>
      <c r="AI33" s="11">
        <f>AI25*AI25*AI29*AI7/(1000*AI32*AI32)</f>
        <v>0.37632</v>
      </c>
      <c r="AJ33" s="11" t="s">
        <v>88</v>
      </c>
      <c r="AL33" s="11" t="s">
        <v>605</v>
      </c>
      <c r="AM33" s="11">
        <f>AM25*AM25*AM29*AM7/(1000*AM32*AM32)</f>
        <v>0.388352</v>
      </c>
      <c r="AN33" s="11" t="s">
        <v>88</v>
      </c>
      <c r="AP33" s="11" t="s">
        <v>605</v>
      </c>
      <c r="AQ33" s="11">
        <f>AQ25*AQ25*AQ29*AQ7/(1000*AQ32*AQ32)</f>
        <v>0.397824</v>
      </c>
      <c r="AR33" s="11" t="s">
        <v>88</v>
      </c>
      <c r="AT33" s="11" t="s">
        <v>605</v>
      </c>
      <c r="AU33" s="11">
        <f>AU25*AU25*AU29*AU7/(1000*AU32*AU32)</f>
        <v>0.444544</v>
      </c>
      <c r="AV33" s="11" t="s">
        <v>88</v>
      </c>
      <c r="AX33" s="11" t="s">
        <v>605</v>
      </c>
      <c r="AY33" s="11">
        <f>AY25*AY25*AY29*AY7/(1000*AY32*AY32)</f>
        <v>0.1416</v>
      </c>
      <c r="AZ33" s="11" t="s">
        <v>88</v>
      </c>
      <c r="BB33" s="11" t="s">
        <v>605</v>
      </c>
      <c r="BC33" s="11">
        <f>BC25*BC25*BC29*BC7/(1000*BC32*BC32)</f>
        <v>0.155232</v>
      </c>
      <c r="BD33" s="11" t="s">
        <v>88</v>
      </c>
      <c r="BF33" s="11" t="s">
        <v>605</v>
      </c>
      <c r="BG33" s="11">
        <f>BG25*BG25*BG29*BG7/(1000*BG32*BG32)</f>
        <v>0.169728</v>
      </c>
      <c r="BH33" s="11" t="s">
        <v>88</v>
      </c>
      <c r="BJ33" s="11" t="s">
        <v>605</v>
      </c>
      <c r="BK33" s="11">
        <f>BK25*BK25*BK29*BK7/(1000*BK32*BK32)</f>
        <v>0.232576</v>
      </c>
      <c r="BL33" s="11" t="s">
        <v>88</v>
      </c>
      <c r="BN33" s="11" t="s">
        <v>605</v>
      </c>
      <c r="BO33" s="11">
        <f>BO25*BO25*BO29*BO7/(1000*BO32*BO32)</f>
        <v>0.2352</v>
      </c>
      <c r="BP33" s="11" t="s">
        <v>88</v>
      </c>
      <c r="BR33" s="11" t="s">
        <v>605</v>
      </c>
      <c r="BS33" s="11">
        <f>BS25*BS25*BS29*BS7/(1000*BS32*BS32)</f>
        <v>0.231264</v>
      </c>
      <c r="BT33" s="11" t="s">
        <v>88</v>
      </c>
      <c r="BV33" s="11" t="s">
        <v>605</v>
      </c>
      <c r="BW33" s="11">
        <f>BW25*BW25*BW29*BW7/(1000*BW32*BW32)</f>
        <v>0.32864</v>
      </c>
      <c r="BX33" s="11" t="s">
        <v>88</v>
      </c>
    </row>
    <row r="34" ht="12.0" customHeight="1">
      <c r="B34" s="11" t="s">
        <v>606</v>
      </c>
      <c r="C34" s="108">
        <f>C26+C33*C27</f>
        <v>93.64</v>
      </c>
      <c r="D34" s="11" t="s">
        <v>607</v>
      </c>
      <c r="F34" s="11" t="s">
        <v>606</v>
      </c>
      <c r="G34" s="108">
        <f>G26+G33*G27</f>
        <v>89.3008</v>
      </c>
      <c r="H34" s="11" t="s">
        <v>608</v>
      </c>
      <c r="J34" s="11" t="s">
        <v>606</v>
      </c>
      <c r="K34" s="11">
        <f>K26+K33*K27</f>
        <v>90.376</v>
      </c>
      <c r="L34" s="11" t="s">
        <v>609</v>
      </c>
      <c r="N34" s="11" t="s">
        <v>606</v>
      </c>
      <c r="O34" s="11">
        <f>O26+O33*O27</f>
        <v>90.99808</v>
      </c>
      <c r="P34" s="11" t="s">
        <v>610</v>
      </c>
      <c r="R34" s="11" t="s">
        <v>606</v>
      </c>
      <c r="S34" s="11">
        <f>S26+S33*S27</f>
        <v>91.4032</v>
      </c>
      <c r="T34" s="11" t="s">
        <v>611</v>
      </c>
      <c r="V34" s="11" t="s">
        <v>606</v>
      </c>
      <c r="W34" s="11">
        <f>W26+W33*W27</f>
        <v>93.68992</v>
      </c>
      <c r="X34" s="11" t="s">
        <v>612</v>
      </c>
      <c r="Z34" s="11" t="s">
        <v>606</v>
      </c>
      <c r="AA34" s="11">
        <f>AA26+AA33*AA27</f>
        <v>94.76896</v>
      </c>
      <c r="AB34" s="11" t="s">
        <v>613</v>
      </c>
      <c r="AD34" s="11" t="s">
        <v>606</v>
      </c>
      <c r="AE34" s="11">
        <f>AE26+AE33*AE27</f>
        <v>95.18368</v>
      </c>
      <c r="AF34" s="11" t="s">
        <v>614</v>
      </c>
      <c r="AH34" s="11" t="s">
        <v>606</v>
      </c>
      <c r="AI34" s="11">
        <f>AI26+AI33*AI27</f>
        <v>96.2896</v>
      </c>
      <c r="AJ34" s="11" t="s">
        <v>615</v>
      </c>
      <c r="AL34" s="11" t="s">
        <v>606</v>
      </c>
      <c r="AM34" s="11">
        <f>AM26+AM33*AM27</f>
        <v>96.65056</v>
      </c>
      <c r="AN34" s="11" t="s">
        <v>616</v>
      </c>
      <c r="AP34" s="11" t="s">
        <v>606</v>
      </c>
      <c r="AQ34" s="11">
        <f>AQ26+AQ33*AQ27</f>
        <v>96.93472</v>
      </c>
      <c r="AR34" s="11" t="s">
        <v>617</v>
      </c>
      <c r="AT34" s="11" t="s">
        <v>606</v>
      </c>
      <c r="AU34" s="11">
        <f>AU26+AU33*AU27</f>
        <v>98.33632</v>
      </c>
      <c r="AV34" s="11" t="s">
        <v>618</v>
      </c>
      <c r="AX34" s="11" t="s">
        <v>606</v>
      </c>
      <c r="AY34" s="11">
        <f>AY26+AY33*AY27</f>
        <v>89.248</v>
      </c>
      <c r="AZ34" s="11" t="s">
        <v>619</v>
      </c>
      <c r="BB34" s="11" t="s">
        <v>606</v>
      </c>
      <c r="BC34" s="11">
        <f>BC26+BC33*BC27</f>
        <v>89.65696</v>
      </c>
      <c r="BD34" s="11" t="s">
        <v>620</v>
      </c>
      <c r="BF34" s="11" t="s">
        <v>606</v>
      </c>
      <c r="BG34" s="11">
        <f>BG26+BG33*BG27</f>
        <v>90.09184</v>
      </c>
      <c r="BH34" s="11" t="s">
        <v>621</v>
      </c>
      <c r="BJ34" s="11" t="s">
        <v>606</v>
      </c>
      <c r="BK34" s="11">
        <f>BK26+BK33*BK27</f>
        <v>91.97728</v>
      </c>
      <c r="BL34" s="11" t="s">
        <v>622</v>
      </c>
      <c r="BN34" s="11" t="s">
        <v>606</v>
      </c>
      <c r="BO34" s="11">
        <f>BO26+BO33*BO27</f>
        <v>92.056</v>
      </c>
      <c r="BP34" s="11" t="s">
        <v>623</v>
      </c>
      <c r="BR34" s="11" t="s">
        <v>606</v>
      </c>
      <c r="BS34" s="11">
        <f>BS26+BS33*BS27</f>
        <v>91.93792</v>
      </c>
      <c r="BT34" s="11" t="s">
        <v>624</v>
      </c>
      <c r="BV34" s="11" t="s">
        <v>606</v>
      </c>
      <c r="BW34" s="11">
        <f>BW26+BW33*BW27</f>
        <v>94.8592</v>
      </c>
      <c r="BX34" s="11" t="s">
        <v>625</v>
      </c>
    </row>
    <row r="35" ht="12.0" customHeight="1">
      <c r="B35" s="11" t="s">
        <v>626</v>
      </c>
      <c r="C35" s="11" t="s">
        <v>627</v>
      </c>
      <c r="D35" s="11"/>
      <c r="F35" s="11" t="s">
        <v>626</v>
      </c>
      <c r="G35" s="108">
        <v>1.894</v>
      </c>
      <c r="H35" s="11"/>
      <c r="J35" s="11" t="s">
        <v>626</v>
      </c>
      <c r="K35" s="11">
        <v>1.266</v>
      </c>
      <c r="L35" s="11"/>
      <c r="N35" s="11" t="s">
        <v>626</v>
      </c>
      <c r="O35" s="11">
        <v>0.867</v>
      </c>
      <c r="P35" s="11"/>
      <c r="R35" s="11" t="s">
        <v>626</v>
      </c>
      <c r="S35" s="11">
        <v>1.972</v>
      </c>
      <c r="T35" s="11"/>
      <c r="V35" s="11" t="s">
        <v>626</v>
      </c>
      <c r="W35" s="11">
        <v>1.313</v>
      </c>
      <c r="X35" s="11"/>
      <c r="Z35" s="11" t="s">
        <v>626</v>
      </c>
      <c r="AA35" s="11">
        <v>0.845</v>
      </c>
      <c r="AB35" s="11"/>
      <c r="AD35" s="11" t="s">
        <v>626</v>
      </c>
      <c r="AE35" s="11">
        <v>0.845</v>
      </c>
      <c r="AF35" s="11"/>
      <c r="AH35" s="11" t="s">
        <v>626</v>
      </c>
      <c r="AI35" s="11">
        <v>0.861</v>
      </c>
      <c r="AJ35" s="11"/>
      <c r="AL35" s="11" t="s">
        <v>626</v>
      </c>
      <c r="AM35" s="11">
        <v>0.896</v>
      </c>
      <c r="AN35" s="11"/>
      <c r="AP35" s="11" t="s">
        <v>626</v>
      </c>
      <c r="AQ35" s="11">
        <v>0.818</v>
      </c>
      <c r="AR35" s="11"/>
      <c r="AT35" s="11" t="s">
        <v>626</v>
      </c>
      <c r="AU35" s="11">
        <v>0.589</v>
      </c>
      <c r="AV35" s="11"/>
      <c r="AX35" s="11" t="s">
        <v>626</v>
      </c>
      <c r="AY35" s="11">
        <v>0.464</v>
      </c>
      <c r="AZ35" s="11"/>
      <c r="BB35" s="11" t="s">
        <v>626</v>
      </c>
      <c r="BC35" s="11">
        <v>0.719</v>
      </c>
      <c r="BD35" s="11"/>
      <c r="BF35" s="11" t="s">
        <v>626</v>
      </c>
      <c r="BG35" s="11">
        <v>0.477</v>
      </c>
      <c r="BH35" s="11"/>
      <c r="BJ35" s="11" t="s">
        <v>626</v>
      </c>
      <c r="BK35" s="11">
        <v>0.587</v>
      </c>
      <c r="BL35" s="11"/>
      <c r="BN35" s="11" t="s">
        <v>626</v>
      </c>
      <c r="BO35" s="11">
        <v>0.326</v>
      </c>
      <c r="BP35" s="11"/>
      <c r="BR35" s="11" t="s">
        <v>626</v>
      </c>
      <c r="BS35" s="11">
        <v>0.258</v>
      </c>
      <c r="BT35" s="11"/>
      <c r="BV35" s="11" t="s">
        <v>626</v>
      </c>
      <c r="BW35" s="11">
        <v>0.273</v>
      </c>
      <c r="BX35" s="11"/>
    </row>
    <row r="36" ht="12.0" customHeight="1">
      <c r="B36" s="11"/>
      <c r="D36" s="11"/>
      <c r="J36" s="11"/>
      <c r="K36" s="11"/>
      <c r="L36" s="11"/>
      <c r="N36" s="11"/>
      <c r="O36" s="11"/>
      <c r="P36" s="11"/>
      <c r="R36" s="11"/>
      <c r="S36" s="11"/>
      <c r="T36" s="11"/>
      <c r="V36" s="11"/>
      <c r="W36" s="11"/>
      <c r="X36" s="11"/>
      <c r="Z36" s="11"/>
      <c r="AA36" s="11"/>
      <c r="AB36" s="11"/>
      <c r="AD36" s="11"/>
      <c r="AE36" s="11"/>
      <c r="AF36" s="11"/>
      <c r="AH36" s="11"/>
      <c r="AI36" s="11"/>
      <c r="AJ36" s="11"/>
      <c r="AL36" s="11"/>
      <c r="AM36" s="11"/>
      <c r="AN36" s="11"/>
      <c r="AP36" s="11"/>
      <c r="AQ36" s="11"/>
      <c r="AR36" s="11"/>
      <c r="AT36" s="11"/>
      <c r="AU36" s="11"/>
      <c r="AV36" s="11"/>
      <c r="AX36" s="11"/>
      <c r="AY36" s="11"/>
      <c r="AZ36" s="11"/>
      <c r="BB36" s="11"/>
      <c r="BC36" s="11"/>
      <c r="BD36" s="11"/>
      <c r="BF36" s="11"/>
      <c r="BG36" s="11"/>
      <c r="BH36" s="11"/>
      <c r="BJ36" s="11"/>
      <c r="BK36" s="11"/>
      <c r="BL36" s="11"/>
      <c r="BN36" s="11"/>
      <c r="BO36" s="11"/>
      <c r="BP36" s="11"/>
      <c r="BR36" s="11"/>
      <c r="BS36" s="11"/>
      <c r="BT36" s="11"/>
      <c r="BV36" s="11"/>
      <c r="BW36" s="11"/>
      <c r="BX36" s="11"/>
    </row>
    <row r="37" ht="12.0" customHeight="1">
      <c r="B37" s="283" t="s">
        <v>431</v>
      </c>
      <c r="D37" s="11"/>
      <c r="J37" s="11"/>
      <c r="K37" s="11"/>
      <c r="L37" s="11"/>
      <c r="N37" s="11"/>
      <c r="O37" s="11"/>
      <c r="P37" s="11"/>
      <c r="R37" s="11"/>
      <c r="S37" s="11"/>
      <c r="T37" s="11"/>
      <c r="V37" s="11"/>
      <c r="W37" s="11"/>
      <c r="X37" s="11"/>
      <c r="Z37" s="11"/>
      <c r="AA37" s="11"/>
      <c r="AB37" s="11"/>
      <c r="AD37" s="11"/>
      <c r="AE37" s="11"/>
      <c r="AF37" s="11"/>
      <c r="AH37" s="11"/>
      <c r="AI37" s="11"/>
      <c r="AJ37" s="11"/>
      <c r="AL37" s="11"/>
      <c r="AM37" s="11"/>
      <c r="AN37" s="11"/>
      <c r="AP37" s="11"/>
      <c r="AQ37" s="11"/>
      <c r="AR37" s="11"/>
      <c r="AT37" s="11"/>
      <c r="AU37" s="11"/>
      <c r="AV37" s="11"/>
      <c r="AX37" s="11"/>
      <c r="AY37" s="11"/>
      <c r="AZ37" s="11"/>
      <c r="BB37" s="11"/>
      <c r="BC37" s="11"/>
      <c r="BD37" s="11"/>
      <c r="BF37" s="11"/>
      <c r="BG37" s="11"/>
      <c r="BH37" s="11"/>
      <c r="BJ37" s="11"/>
      <c r="BK37" s="11"/>
      <c r="BL37" s="11"/>
      <c r="BN37" s="11"/>
      <c r="BO37" s="11"/>
      <c r="BP37" s="11"/>
      <c r="BR37" s="11"/>
      <c r="BS37" s="11"/>
      <c r="BT37" s="11"/>
      <c r="BV37" s="11"/>
      <c r="BW37" s="11"/>
      <c r="BX37" s="11"/>
    </row>
    <row r="38" ht="12.0" customHeight="1">
      <c r="B38" s="11" t="s">
        <v>628</v>
      </c>
      <c r="D38" s="11"/>
      <c r="F38" s="11" t="s">
        <v>628</v>
      </c>
      <c r="G38" s="11"/>
      <c r="H38" s="11"/>
      <c r="J38" s="11" t="s">
        <v>628</v>
      </c>
      <c r="K38" s="11"/>
      <c r="L38" s="11"/>
      <c r="N38" s="11" t="s">
        <v>628</v>
      </c>
      <c r="O38" s="11"/>
      <c r="P38" s="11"/>
      <c r="R38" s="11" t="s">
        <v>628</v>
      </c>
      <c r="S38" s="11"/>
      <c r="T38" s="11"/>
      <c r="V38" s="11" t="s">
        <v>628</v>
      </c>
      <c r="W38" s="11"/>
      <c r="X38" s="11"/>
      <c r="Z38" s="11" t="s">
        <v>628</v>
      </c>
      <c r="AA38" s="11"/>
      <c r="AB38" s="11"/>
      <c r="AD38" s="11" t="s">
        <v>628</v>
      </c>
      <c r="AE38" s="11"/>
      <c r="AF38" s="11"/>
      <c r="AH38" s="11" t="s">
        <v>628</v>
      </c>
      <c r="AI38" s="11"/>
      <c r="AJ38" s="11"/>
      <c r="AL38" s="11" t="s">
        <v>628</v>
      </c>
      <c r="AM38" s="11"/>
      <c r="AN38" s="11"/>
      <c r="AP38" s="11" t="s">
        <v>628</v>
      </c>
      <c r="AQ38" s="11"/>
      <c r="AR38" s="11"/>
      <c r="AT38" s="11" t="s">
        <v>628</v>
      </c>
      <c r="AU38" s="11"/>
      <c r="AV38" s="11"/>
      <c r="AX38" s="11" t="s">
        <v>628</v>
      </c>
      <c r="AY38" s="11"/>
      <c r="AZ38" s="11"/>
      <c r="BB38" s="11" t="s">
        <v>628</v>
      </c>
      <c r="BC38" s="11"/>
      <c r="BD38" s="11"/>
      <c r="BF38" s="11" t="s">
        <v>628</v>
      </c>
      <c r="BG38" s="11"/>
      <c r="BH38" s="11"/>
      <c r="BJ38" s="11" t="s">
        <v>628</v>
      </c>
      <c r="BK38" s="11"/>
      <c r="BL38" s="11"/>
      <c r="BN38" s="11" t="s">
        <v>628</v>
      </c>
      <c r="BO38" s="11"/>
      <c r="BP38" s="11"/>
      <c r="BR38" s="11" t="s">
        <v>628</v>
      </c>
      <c r="BS38" s="11"/>
      <c r="BT38" s="11"/>
      <c r="BV38" s="11" t="s">
        <v>628</v>
      </c>
      <c r="BW38" s="11"/>
      <c r="BX38" s="11"/>
    </row>
    <row r="39" ht="12.0" customHeight="1">
      <c r="B39" s="11">
        <v>0.01</v>
      </c>
      <c r="C39" s="143">
        <f>'Design Calculator'!H57</f>
        <v>200</v>
      </c>
      <c r="D39" s="11" t="s">
        <v>58</v>
      </c>
      <c r="F39" s="11">
        <v>0.01</v>
      </c>
      <c r="G39" s="143">
        <v>400.0</v>
      </c>
      <c r="H39" s="11" t="s">
        <v>58</v>
      </c>
      <c r="J39" s="11">
        <v>0.01</v>
      </c>
      <c r="K39" s="143">
        <v>400.0</v>
      </c>
      <c r="L39" s="11" t="s">
        <v>58</v>
      </c>
      <c r="N39" s="11">
        <v>0.01</v>
      </c>
      <c r="O39" s="143">
        <v>400.0</v>
      </c>
      <c r="P39" s="11" t="s">
        <v>58</v>
      </c>
      <c r="R39" s="11">
        <v>0.01</v>
      </c>
      <c r="S39" s="143">
        <v>400.0</v>
      </c>
      <c r="T39" s="11" t="s">
        <v>58</v>
      </c>
      <c r="V39" s="11">
        <v>0.01</v>
      </c>
      <c r="W39" s="143">
        <v>400.0</v>
      </c>
      <c r="X39" s="11" t="s">
        <v>58</v>
      </c>
      <c r="Z39" s="11">
        <v>0.01</v>
      </c>
      <c r="AA39" s="143">
        <f>36326*VINMAX^-1.677</f>
        <v>121.0835748</v>
      </c>
      <c r="AB39" s="11" t="s">
        <v>58</v>
      </c>
      <c r="AD39" s="11">
        <v>0.01</v>
      </c>
      <c r="AE39" s="143">
        <v>400.0</v>
      </c>
      <c r="AF39" s="11" t="s">
        <v>58</v>
      </c>
      <c r="AH39" s="11">
        <v>0.01</v>
      </c>
      <c r="AI39" s="143">
        <v>400.0</v>
      </c>
      <c r="AJ39" s="11" t="s">
        <v>58</v>
      </c>
      <c r="AL39" s="11">
        <v>0.01</v>
      </c>
      <c r="AM39" s="143">
        <f>30220*VINMAX^-1.615</f>
        <v>124.3780185</v>
      </c>
      <c r="AN39" s="11" t="s">
        <v>58</v>
      </c>
      <c r="AP39" s="11">
        <v>0.01</v>
      </c>
      <c r="AQ39" s="143">
        <v>400.0</v>
      </c>
      <c r="AR39" s="11" t="s">
        <v>58</v>
      </c>
      <c r="AT39" s="11">
        <v>0.01</v>
      </c>
      <c r="AU39" s="143">
        <f>20185*VINMAX^-1.526</f>
        <v>112.4454066</v>
      </c>
      <c r="AV39" s="11" t="s">
        <v>58</v>
      </c>
      <c r="AX39" s="11">
        <v>0.01</v>
      </c>
      <c r="AY39" s="143">
        <f>19093*VINMAX^-1.564</f>
        <v>93.46661837</v>
      </c>
      <c r="AZ39" s="11" t="s">
        <v>58</v>
      </c>
      <c r="BB39" s="11">
        <v>0.01</v>
      </c>
      <c r="BC39" s="143">
        <f>26533.896*VINMAX^-1.640895</f>
        <v>100.0000325</v>
      </c>
      <c r="BD39" s="11" t="s">
        <v>58</v>
      </c>
      <c r="BF39" s="11">
        <v>0.01</v>
      </c>
      <c r="BG39" s="143">
        <f>2759.3*VINMAX^-1</f>
        <v>91.97666667</v>
      </c>
      <c r="BH39" s="11" t="s">
        <v>58</v>
      </c>
      <c r="BJ39" s="11">
        <v>0.01</v>
      </c>
      <c r="BK39" s="143">
        <f>3718*VINMAX^-1</f>
        <v>123.9333333</v>
      </c>
      <c r="BL39" s="11" t="s">
        <v>58</v>
      </c>
      <c r="BN39" s="11">
        <v>0.01</v>
      </c>
      <c r="BO39" s="143">
        <f>5949.5*VINMAX^-1</f>
        <v>198.3166667</v>
      </c>
      <c r="BP39" s="11" t="s">
        <v>58</v>
      </c>
      <c r="BR39" s="11">
        <v>0.01</v>
      </c>
      <c r="BS39" s="143">
        <v>156.0</v>
      </c>
      <c r="BT39" s="11" t="s">
        <v>58</v>
      </c>
      <c r="BV39" s="11">
        <v>0.01</v>
      </c>
      <c r="BW39" s="143">
        <f>6156.5*VINMAX^-1.437</f>
        <v>46.42058837</v>
      </c>
      <c r="BX39" s="11" t="s">
        <v>58</v>
      </c>
    </row>
    <row r="40" ht="12.0" customHeight="1">
      <c r="B40" s="11">
        <v>0.1</v>
      </c>
      <c r="C40" s="143">
        <f>'Design Calculator'!H58</f>
        <v>200</v>
      </c>
      <c r="D40" s="11" t="s">
        <v>58</v>
      </c>
      <c r="F40" s="11">
        <v>0.1</v>
      </c>
      <c r="G40" s="143">
        <f>7200*VINMAX^-1</f>
        <v>240</v>
      </c>
      <c r="H40" s="11" t="s">
        <v>58</v>
      </c>
      <c r="J40" s="11">
        <v>0.1</v>
      </c>
      <c r="K40" s="143">
        <f>7200*VINMAX^-1</f>
        <v>240</v>
      </c>
      <c r="L40" s="11" t="s">
        <v>58</v>
      </c>
      <c r="N40" s="11">
        <v>0.1</v>
      </c>
      <c r="O40" s="143">
        <f>210787.85*VINMAX^-2.205</f>
        <v>116.6254164</v>
      </c>
      <c r="P40" s="11" t="s">
        <v>58</v>
      </c>
      <c r="R40" s="11">
        <v>0.1</v>
      </c>
      <c r="S40" s="143">
        <f>9600*VINMAX^-1</f>
        <v>320</v>
      </c>
      <c r="T40" s="11" t="s">
        <v>58</v>
      </c>
      <c r="V40" s="11">
        <v>0.1</v>
      </c>
      <c r="W40" s="143">
        <f>6024*VINMAX^-1</f>
        <v>200.8</v>
      </c>
      <c r="X40" s="11" t="s">
        <v>58</v>
      </c>
      <c r="Z40" s="11">
        <v>0.1</v>
      </c>
      <c r="AA40" s="143">
        <f>9058.8*VINMAX^-1.677</f>
        <v>30.19522897</v>
      </c>
      <c r="AB40" s="11" t="s">
        <v>58</v>
      </c>
      <c r="AD40" s="11">
        <v>0.1</v>
      </c>
      <c r="AE40" s="143">
        <f>254877.35*VINMAX^-2.292</f>
        <v>104.8985119</v>
      </c>
      <c r="AF40" s="11" t="s">
        <v>58</v>
      </c>
      <c r="AH40" s="11">
        <v>0.1</v>
      </c>
      <c r="AI40" s="143">
        <f>23236.2*VINMAX^-1.559</f>
        <v>115.699923</v>
      </c>
      <c r="AJ40" s="11" t="s">
        <v>58</v>
      </c>
      <c r="AL40" s="11">
        <v>0.1</v>
      </c>
      <c r="AM40" s="143">
        <f>7262.7*VINMAX^-1.615</f>
        <v>29.89147038</v>
      </c>
      <c r="AN40" s="11" t="s">
        <v>58</v>
      </c>
      <c r="AP40" s="11">
        <v>0.1</v>
      </c>
      <c r="AQ40" s="143">
        <f>25472*VINMAX^-1.733</f>
        <v>70.17976532</v>
      </c>
      <c r="AR40" s="11" t="s">
        <v>58</v>
      </c>
      <c r="AT40" s="11">
        <v>0.1</v>
      </c>
      <c r="AU40" s="143">
        <f>5027.2*VINMAX^-1.526</f>
        <v>28.00522903</v>
      </c>
      <c r="AV40" s="11" t="s">
        <v>58</v>
      </c>
      <c r="AX40" s="11">
        <v>0.1</v>
      </c>
      <c r="AY40" s="143">
        <f>3987.9*VINMAX^-1.564</f>
        <v>19.52210378</v>
      </c>
      <c r="AZ40" s="11" t="s">
        <v>58</v>
      </c>
      <c r="BB40" s="11">
        <v>0.1</v>
      </c>
      <c r="BC40" s="143">
        <f>450*VINMAX^-1</f>
        <v>15</v>
      </c>
      <c r="BD40" s="11" t="s">
        <v>58</v>
      </c>
      <c r="BF40" s="11">
        <v>0.1</v>
      </c>
      <c r="BG40" s="143">
        <f>2213.6*VINMAX^-1.334</f>
        <v>23.69296388</v>
      </c>
      <c r="BH40" s="11" t="s">
        <v>58</v>
      </c>
      <c r="BJ40" s="11">
        <v>0.1</v>
      </c>
      <c r="BK40" s="143">
        <f>2786.8*VINMAX^-1.436</f>
        <v>21.08432394</v>
      </c>
      <c r="BL40" s="11" t="s">
        <v>58</v>
      </c>
      <c r="BN40" s="11">
        <v>0.1</v>
      </c>
      <c r="BO40" s="143">
        <f>3055.1*VINMAX^-1.399</f>
        <v>26.21396981</v>
      </c>
      <c r="BP40" s="11" t="s">
        <v>58</v>
      </c>
      <c r="BR40" s="11">
        <v>0.1</v>
      </c>
      <c r="BS40" s="143">
        <f>8287.2884*VINMAX^-1.6338</f>
        <v>31.99570962</v>
      </c>
      <c r="BT40" s="11" t="s">
        <v>58</v>
      </c>
      <c r="BV40" s="11">
        <v>0.1</v>
      </c>
      <c r="BW40" s="143">
        <f>1328.6*VINMAX^-1.437</f>
        <v>10.01776882</v>
      </c>
      <c r="BX40" s="11" t="s">
        <v>58</v>
      </c>
    </row>
    <row r="41" ht="12.0" customHeight="1">
      <c r="B41" s="11">
        <v>1.0</v>
      </c>
      <c r="C41" s="143">
        <f>'Design Calculator'!H59</f>
        <v>15</v>
      </c>
      <c r="D41" s="11" t="s">
        <v>58</v>
      </c>
      <c r="F41" s="11">
        <v>1.0</v>
      </c>
      <c r="G41" s="143">
        <f>18540.6*VINMAX^-1.848</f>
        <v>34.54647226</v>
      </c>
      <c r="H41" s="11" t="s">
        <v>58</v>
      </c>
      <c r="J41" s="11">
        <v>1.0</v>
      </c>
      <c r="K41" s="143">
        <f>10892.05*VINMAX^-1.811</f>
        <v>23.01669877</v>
      </c>
      <c r="L41" s="11" t="s">
        <v>58</v>
      </c>
      <c r="N41" s="11">
        <v>1.0</v>
      </c>
      <c r="O41" s="143">
        <f>5035.355*VINMAX^-1.742</f>
        <v>13.45503614</v>
      </c>
      <c r="P41" s="11" t="s">
        <v>58</v>
      </c>
      <c r="R41" s="11">
        <v>1.0</v>
      </c>
      <c r="S41" s="143">
        <f>8530.6*VINMAX^-1.677</f>
        <v>28.43460726</v>
      </c>
      <c r="T41" s="11" t="s">
        <v>58</v>
      </c>
      <c r="V41" s="11">
        <v>1.0</v>
      </c>
      <c r="W41" s="143">
        <f>4926.09*VINMAX^-1.645</f>
        <v>18.30787245</v>
      </c>
      <c r="X41" s="11" t="s">
        <v>58</v>
      </c>
      <c r="Z41" s="11">
        <v>1.0</v>
      </c>
      <c r="AA41" s="143">
        <f>2847.4*VINMAX^-1.677</f>
        <v>9.491090981</v>
      </c>
      <c r="AB41" s="11" t="s">
        <v>58</v>
      </c>
      <c r="AD41" s="11">
        <v>1.0</v>
      </c>
      <c r="AE41" s="143">
        <f>3649.035*VINMAX^-1.776</f>
        <v>8.685817111</v>
      </c>
      <c r="AF41" s="11" t="s">
        <v>58</v>
      </c>
      <c r="AH41" s="11">
        <v>1.0</v>
      </c>
      <c r="AI41" s="143">
        <f>4614.61*VINMAX^-1.711</f>
        <v>13.70189187</v>
      </c>
      <c r="AJ41" s="11" t="s">
        <v>58</v>
      </c>
      <c r="AL41" s="11">
        <v>1.0</v>
      </c>
      <c r="AM41" s="143">
        <f>2213.6*VINMAX^-1.615</f>
        <v>9.110628118</v>
      </c>
      <c r="AN41" s="11" t="s">
        <v>58</v>
      </c>
      <c r="AP41" s="11">
        <v>1.0</v>
      </c>
      <c r="AQ41" s="143">
        <f>5126.7*VINMAX^-1.733</f>
        <v>14.12494515</v>
      </c>
      <c r="AR41" s="11" t="s">
        <v>58</v>
      </c>
      <c r="AT41" s="11">
        <v>1.0</v>
      </c>
      <c r="AU41" s="143">
        <f>1653.3*VINMAX^-1.526</f>
        <v>9.210106053</v>
      </c>
      <c r="AV41" s="11" t="s">
        <v>58</v>
      </c>
      <c r="AX41" s="11">
        <v>1.0</v>
      </c>
      <c r="AY41" s="143">
        <f>1139.3*VINMAX^-1.564</f>
        <v>5.577254403</v>
      </c>
      <c r="AZ41" s="11" t="s">
        <v>58</v>
      </c>
      <c r="BB41" s="11">
        <v>1.0</v>
      </c>
      <c r="BC41" s="143">
        <f>270.803*VINMAX^-1.12</f>
        <v>6.00174675</v>
      </c>
      <c r="BD41" s="11" t="s">
        <v>58</v>
      </c>
      <c r="BF41" s="11">
        <v>1.0</v>
      </c>
      <c r="BG41" s="143">
        <f>700*VINMAX^-1.334</f>
        <v>7.492353955</v>
      </c>
      <c r="BH41" s="11" t="s">
        <v>58</v>
      </c>
      <c r="BJ41" s="11">
        <v>1.0</v>
      </c>
      <c r="BK41" s="143">
        <f>700*VINMAX^-1.436</f>
        <v>5.296048069</v>
      </c>
      <c r="BL41" s="11" t="s">
        <v>58</v>
      </c>
      <c r="BN41" s="11">
        <v>1.0</v>
      </c>
      <c r="BO41" s="143">
        <f>556.03*VINMAX^-1.399</f>
        <v>4.770957949</v>
      </c>
      <c r="BP41" s="11" t="s">
        <v>58</v>
      </c>
      <c r="BR41" s="11">
        <v>1.0</v>
      </c>
      <c r="BS41" s="143">
        <f>1050.9707*VINMAX^-1.64545</f>
        <v>3.899971559</v>
      </c>
      <c r="BT41" s="11" t="s">
        <v>58</v>
      </c>
      <c r="BV41" s="11">
        <v>1.0</v>
      </c>
      <c r="BW41" s="143">
        <f>412.19*VINMAX^-1.437</f>
        <v>3.107951323</v>
      </c>
      <c r="BX41" s="11" t="s">
        <v>58</v>
      </c>
    </row>
    <row r="42" ht="12.0" customHeight="1">
      <c r="B42" s="11">
        <v>10.0</v>
      </c>
      <c r="C42" s="143">
        <f>'Design Calculator'!H60</f>
        <v>3</v>
      </c>
      <c r="D42" s="11" t="s">
        <v>58</v>
      </c>
      <c r="F42" s="11">
        <v>10.0</v>
      </c>
      <c r="G42" s="143">
        <f>4210.83*VINMAX^-1.786</f>
        <v>9.68788885</v>
      </c>
      <c r="H42" s="11" t="s">
        <v>58</v>
      </c>
      <c r="J42" s="11">
        <v>10.0</v>
      </c>
      <c r="K42" s="143">
        <f>2539.81*VINMAX^-1.762</f>
        <v>6.340355044</v>
      </c>
      <c r="L42" s="11" t="s">
        <v>58</v>
      </c>
      <c r="N42" s="11">
        <v>10.0</v>
      </c>
      <c r="O42" s="143">
        <f>1366.82*VINMAX^-1.659</f>
        <v>4.843587653</v>
      </c>
      <c r="P42" s="11" t="s">
        <v>58</v>
      </c>
      <c r="R42" s="11">
        <v>10.0</v>
      </c>
      <c r="S42" s="143">
        <f>1565.525*VINMAX^-1.487</f>
        <v>9.958196724</v>
      </c>
      <c r="T42" s="11" t="s">
        <v>58</v>
      </c>
      <c r="V42" s="11">
        <v>10.0</v>
      </c>
      <c r="W42" s="143">
        <f>1494.22*VINMAX^-1.647</f>
        <v>5.515639061</v>
      </c>
      <c r="X42" s="11" t="s">
        <v>58</v>
      </c>
      <c r="Z42" s="11">
        <v>10.0</v>
      </c>
      <c r="AA42" s="143">
        <f>1085.4*VINMAX^-1.677</f>
        <v>3.617907618</v>
      </c>
      <c r="AB42" s="11" t="s">
        <v>58</v>
      </c>
      <c r="AD42" s="11">
        <v>10.0</v>
      </c>
      <c r="AE42" s="143">
        <f>1388.79*VINMAX^-1.801</f>
        <v>3.03627568</v>
      </c>
      <c r="AF42" s="11" t="s">
        <v>58</v>
      </c>
      <c r="AH42" s="11">
        <v>10.0</v>
      </c>
      <c r="AI42" s="143">
        <f>1390.155*VINMAX^-1.765</f>
        <v>3.43513818</v>
      </c>
      <c r="AJ42" s="11" t="s">
        <v>58</v>
      </c>
      <c r="AL42" s="11">
        <v>10.0</v>
      </c>
      <c r="AM42" s="143">
        <f>822.43*VINMAX^-1.615</f>
        <v>3.384917728</v>
      </c>
      <c r="AN42" s="11" t="s">
        <v>58</v>
      </c>
      <c r="AP42" s="11">
        <v>10.0</v>
      </c>
      <c r="AQ42" s="143">
        <f>1760.7*VINMAX^-1.733</f>
        <v>4.851033009</v>
      </c>
      <c r="AR42" s="11" t="s">
        <v>58</v>
      </c>
      <c r="AT42" s="11">
        <v>10.0</v>
      </c>
      <c r="AU42" s="143">
        <f>679.18*VINMAX^-1.526</f>
        <v>3.783535855</v>
      </c>
      <c r="AV42" s="11" t="s">
        <v>58</v>
      </c>
      <c r="AX42" s="11">
        <v>10.0</v>
      </c>
      <c r="AY42" s="143">
        <f>418.17*VINMAX^-1.564</f>
        <v>2.047081957</v>
      </c>
      <c r="AZ42" s="11" t="s">
        <v>58</v>
      </c>
      <c r="BB42" s="11">
        <v>10.0</v>
      </c>
      <c r="BC42" s="143">
        <f>407.4016*VINMAX^-1.56317</f>
        <v>2.000005079</v>
      </c>
      <c r="BD42" s="11" t="s">
        <v>58</v>
      </c>
      <c r="BF42" s="11">
        <v>10.0</v>
      </c>
      <c r="BG42" s="143">
        <f>278.68*VINMAX^-1.334</f>
        <v>2.982813143</v>
      </c>
      <c r="BH42" s="11" t="s">
        <v>58</v>
      </c>
      <c r="BJ42" s="11">
        <v>10.0</v>
      </c>
      <c r="BK42" s="143">
        <f>226.52*VINMAX^-1.436</f>
        <v>1.713801155</v>
      </c>
      <c r="BL42" s="11" t="s">
        <v>58</v>
      </c>
      <c r="BN42" s="11">
        <v>10.0</v>
      </c>
      <c r="BO42" s="143">
        <f>197.29*VINMAX^-1.399</f>
        <v>1.692826455</v>
      </c>
      <c r="BP42" s="11" t="s">
        <v>58</v>
      </c>
      <c r="BR42" s="11">
        <v>10.0</v>
      </c>
      <c r="BS42" s="143">
        <f>13.3098*VINMAX^-0.761056</f>
        <v>0.9999989315</v>
      </c>
      <c r="BT42" s="11" t="s">
        <v>58</v>
      </c>
      <c r="BV42" s="11">
        <v>10.0</v>
      </c>
      <c r="BW42" s="143">
        <f>167.92*VINMAX^-1.437</f>
        <v>1.266132575</v>
      </c>
      <c r="BX42" s="11" t="s">
        <v>58</v>
      </c>
    </row>
    <row r="43" ht="12.0" customHeight="1">
      <c r="B43" s="11">
        <v>100.0</v>
      </c>
      <c r="C43" s="143">
        <f>'Design Calculator'!H61</f>
        <v>0.65</v>
      </c>
      <c r="D43" s="11" t="s">
        <v>58</v>
      </c>
      <c r="F43" s="11">
        <v>100.0</v>
      </c>
      <c r="G43" s="143">
        <f>795.6*VINMAX^-1.492</f>
        <v>4.975421315</v>
      </c>
      <c r="H43" s="11" t="s">
        <v>58</v>
      </c>
      <c r="J43" s="11">
        <v>100.0</v>
      </c>
      <c r="K43" s="143">
        <f>1006.005*VINMAX^-1.605</f>
        <v>4.283714569</v>
      </c>
      <c r="L43" s="11" t="s">
        <v>58</v>
      </c>
      <c r="N43" s="11">
        <v>100.0</v>
      </c>
      <c r="O43" s="143">
        <f>108.017*VINMAX^-1.122</f>
        <v>2.377727406</v>
      </c>
      <c r="P43" s="11" t="s">
        <v>58</v>
      </c>
      <c r="R43" s="11">
        <v>100.0</v>
      </c>
      <c r="S43" s="143">
        <f>334.6265*VINMAX^-1.214</f>
        <v>5.386853042</v>
      </c>
      <c r="T43" s="11" t="s">
        <v>58</v>
      </c>
      <c r="V43" s="11">
        <v>100.0</v>
      </c>
      <c r="W43" s="143">
        <f>351.234*VINMAX^-1.35</f>
        <v>3.560269352</v>
      </c>
      <c r="X43" s="11" t="s">
        <v>58</v>
      </c>
      <c r="Z43" s="11">
        <v>100.0</v>
      </c>
      <c r="AA43" s="143">
        <f>314.18*VINMAX^-1.677</f>
        <v>1.047239926</v>
      </c>
      <c r="AB43" s="11" t="s">
        <v>58</v>
      </c>
      <c r="AD43" s="11">
        <v>100.0</v>
      </c>
      <c r="AE43" s="143">
        <f>144.5275*VINMAX^-1.28</f>
        <v>1.858811216</v>
      </c>
      <c r="AF43" s="11" t="s">
        <v>58</v>
      </c>
      <c r="AH43" s="11">
        <v>100.0</v>
      </c>
      <c r="AI43" s="143">
        <f>695.825*VINMAX^-1.644</f>
        <v>2.594852556</v>
      </c>
      <c r="AJ43" s="11" t="s">
        <v>58</v>
      </c>
      <c r="AL43" s="11">
        <v>100.0</v>
      </c>
      <c r="AM43" s="143">
        <f>266.13*VINMAX^-1.615</f>
        <v>1.095325019</v>
      </c>
      <c r="AN43" s="11" t="s">
        <v>58</v>
      </c>
      <c r="AP43" s="11">
        <v>100.0</v>
      </c>
      <c r="AQ43" s="143">
        <f>1037.9*VINMAX^-1.733</f>
        <v>2.859594002</v>
      </c>
      <c r="AR43" s="11" t="s">
        <v>58</v>
      </c>
      <c r="AT43" s="11">
        <v>100.0</v>
      </c>
      <c r="AU43" s="143">
        <f>180.1*VINMAX^-1.526</f>
        <v>1.003290449</v>
      </c>
      <c r="AV43" s="11" t="s">
        <v>58</v>
      </c>
      <c r="AX43" s="11">
        <v>100.0</v>
      </c>
      <c r="AY43" s="143">
        <f>157.27*VINMAX^-1.564</f>
        <v>0.7698892302</v>
      </c>
      <c r="AZ43" s="11" t="s">
        <v>58</v>
      </c>
      <c r="BB43" s="11">
        <v>100.0</v>
      </c>
      <c r="BC43" s="143">
        <f>111.1856*VINMAX^-1.2291</f>
        <v>1.700273593</v>
      </c>
      <c r="BD43" s="11" t="s">
        <v>58</v>
      </c>
      <c r="BF43" s="11">
        <v>100.0</v>
      </c>
      <c r="BG43" s="143">
        <f>124.48*VINMAX^-1.334</f>
        <v>1.332354601</v>
      </c>
      <c r="BH43" s="11" t="s">
        <v>58</v>
      </c>
      <c r="BJ43" s="11">
        <v>100.0</v>
      </c>
      <c r="BK43" s="143">
        <f>175.83*VINMAX^-1.436</f>
        <v>1.330291617</v>
      </c>
      <c r="BL43" s="11" t="s">
        <v>58</v>
      </c>
      <c r="BN43" s="11">
        <v>100.0</v>
      </c>
      <c r="BO43" s="143">
        <f>116.17*VINMAX^-1.399</f>
        <v>0.9967846788</v>
      </c>
      <c r="BP43" s="11" t="s">
        <v>58</v>
      </c>
      <c r="BR43" s="11">
        <v>100.0</v>
      </c>
      <c r="BS43" s="143">
        <f>87.16708*VINMAX^-1.583</f>
        <v>0.4000088055</v>
      </c>
      <c r="BT43" s="11" t="s">
        <v>58</v>
      </c>
      <c r="BV43" s="11">
        <v>100.0</v>
      </c>
      <c r="BW43" s="143">
        <f>84.159*VINMAX^-1.437</f>
        <v>0.6345667663</v>
      </c>
      <c r="BX43" s="11" t="s">
        <v>58</v>
      </c>
    </row>
    <row r="44" ht="12.0" customHeight="1">
      <c r="B44" s="11"/>
      <c r="D44" s="11"/>
      <c r="F44" s="11"/>
      <c r="G44" s="11"/>
      <c r="H44" s="11"/>
      <c r="J44" s="11"/>
      <c r="K44" s="11"/>
      <c r="L44" s="11"/>
      <c r="N44" s="11"/>
      <c r="O44" s="11"/>
      <c r="P44" s="11"/>
      <c r="R44" s="11"/>
      <c r="S44" s="11"/>
      <c r="T44" s="11"/>
      <c r="V44" s="11"/>
      <c r="W44" s="11"/>
      <c r="X44" s="11"/>
      <c r="Z44" s="11"/>
      <c r="AA44" s="11"/>
      <c r="AB44" s="11"/>
      <c r="AD44" s="11"/>
      <c r="AE44" s="11"/>
      <c r="AF44" s="11"/>
      <c r="AH44" s="11"/>
      <c r="AI44" s="11"/>
      <c r="AJ44" s="11"/>
      <c r="AL44" s="11"/>
      <c r="AM44" s="11"/>
      <c r="AN44" s="11"/>
      <c r="AP44" s="11"/>
      <c r="AQ44" s="11"/>
      <c r="AR44" s="11"/>
      <c r="AT44" s="11"/>
      <c r="AU44" s="11"/>
      <c r="AV44" s="11"/>
      <c r="AX44" s="11"/>
      <c r="AY44" s="11"/>
      <c r="AZ44" s="11"/>
      <c r="BB44" s="11"/>
      <c r="BC44" s="11"/>
      <c r="BD44" s="11"/>
      <c r="BF44" s="11"/>
      <c r="BG44" s="11"/>
      <c r="BH44" s="11"/>
      <c r="BJ44" s="11"/>
      <c r="BK44" s="11"/>
      <c r="BL44" s="11"/>
      <c r="BN44" s="11"/>
      <c r="BO44" s="11"/>
      <c r="BP44" s="11"/>
      <c r="BR44" s="11"/>
      <c r="BS44" s="11"/>
      <c r="BT44" s="11"/>
      <c r="BV44" s="11"/>
      <c r="BW44" s="11"/>
      <c r="BX44" s="11"/>
    </row>
    <row r="45" ht="12.0" customHeight="1">
      <c r="B45" s="11" t="s">
        <v>629</v>
      </c>
      <c r="C45" s="284">
        <f>IF('Design Calculator'!F30="Soft Start",'Design Calculator'!F31-0.00001,'Design Calculator'!F79)</f>
        <v>0.99999</v>
      </c>
      <c r="D45" s="11" t="s">
        <v>77</v>
      </c>
      <c r="F45" s="11" t="s">
        <v>629</v>
      </c>
      <c r="G45" s="285">
        <f>IF('Design Calculator'!F30="Soft Start",'Design Calculator'!F31-0.00001,'Design Calculator'!F79)</f>
        <v>0.99999</v>
      </c>
      <c r="H45" s="11" t="s">
        <v>77</v>
      </c>
      <c r="J45" s="11" t="s">
        <v>629</v>
      </c>
      <c r="K45" s="285">
        <f>IF('Design Calculator'!F30="Soft Start",'Design Calculator'!F31-0.00001,'Design Calculator'!F79)</f>
        <v>0.99999</v>
      </c>
      <c r="L45" s="11" t="s">
        <v>77</v>
      </c>
      <c r="N45" s="11" t="s">
        <v>629</v>
      </c>
      <c r="O45" s="285">
        <f>IF('Design Calculator'!F30="Soft Start",'Design Calculator'!F31-0.00001,'Design Calculator'!F79)</f>
        <v>0.99999</v>
      </c>
      <c r="P45" s="11" t="s">
        <v>77</v>
      </c>
      <c r="R45" s="11" t="s">
        <v>629</v>
      </c>
      <c r="S45" s="285">
        <f>IF('Design Calculator'!F30="Soft Start",'Design Calculator'!F31-0.00001,'Design Calculator'!F79)</f>
        <v>0.99999</v>
      </c>
      <c r="T45" s="11" t="s">
        <v>77</v>
      </c>
      <c r="V45" s="11" t="s">
        <v>629</v>
      </c>
      <c r="W45" s="285">
        <f>IF('Design Calculator'!F30="Soft Start",'Design Calculator'!F31-0.00001,'Design Calculator'!F79)</f>
        <v>0.99999</v>
      </c>
      <c r="X45" s="11" t="s">
        <v>77</v>
      </c>
      <c r="Z45" s="11" t="s">
        <v>629</v>
      </c>
      <c r="AA45" s="285">
        <f>IF('Design Calculator'!F30="Soft Start",'Design Calculator'!F31-0.00001,'Design Calculator'!F79)</f>
        <v>0.99999</v>
      </c>
      <c r="AB45" s="11" t="s">
        <v>77</v>
      </c>
      <c r="AD45" s="11" t="s">
        <v>629</v>
      </c>
      <c r="AE45" s="285">
        <f>IF('Design Calculator'!F30="Soft Start",'Design Calculator'!F31-0.00001,'Design Calculator'!F79)</f>
        <v>0.99999</v>
      </c>
      <c r="AF45" s="11" t="s">
        <v>77</v>
      </c>
      <c r="AH45" s="11" t="s">
        <v>629</v>
      </c>
      <c r="AI45" s="285">
        <f>IF('Design Calculator'!F30="Soft Start",'Design Calculator'!F31-0.00001,'Design Calculator'!F79)</f>
        <v>0.99999</v>
      </c>
      <c r="AJ45" s="11" t="s">
        <v>77</v>
      </c>
      <c r="AL45" s="11" t="s">
        <v>629</v>
      </c>
      <c r="AM45" s="285">
        <f>IF('Design Calculator'!F30="Soft Start",'Design Calculator'!F31-0.00001,'Design Calculator'!F79)</f>
        <v>0.99999</v>
      </c>
      <c r="AN45" s="11" t="s">
        <v>77</v>
      </c>
      <c r="AP45" s="11" t="s">
        <v>629</v>
      </c>
      <c r="AQ45" s="285">
        <f>IF('Design Calculator'!F30="Soft Start",'Design Calculator'!F31-0.00001,'Design Calculator'!F79)</f>
        <v>0.99999</v>
      </c>
      <c r="AR45" s="11" t="s">
        <v>77</v>
      </c>
      <c r="AT45" s="11" t="s">
        <v>629</v>
      </c>
      <c r="AU45" s="285">
        <f>IF('Design Calculator'!F30="Soft Start",'Design Calculator'!F31-0.00001,'Design Calculator'!F79)</f>
        <v>0.99999</v>
      </c>
      <c r="AV45" s="11" t="s">
        <v>77</v>
      </c>
      <c r="AX45" s="11" t="s">
        <v>629</v>
      </c>
      <c r="AY45" s="285">
        <f>IF('Design Calculator'!F30="Soft Start",'Design Calculator'!F31-0.00001,'Design Calculator'!F79)</f>
        <v>0.99999</v>
      </c>
      <c r="AZ45" s="11" t="s">
        <v>77</v>
      </c>
      <c r="BB45" s="11" t="s">
        <v>629</v>
      </c>
      <c r="BC45" s="285">
        <f>IF('Design Calculator'!F30="Soft Start",'Design Calculator'!F31-0.00001,'Design Calculator'!F79)</f>
        <v>0.99999</v>
      </c>
      <c r="BD45" s="11" t="s">
        <v>77</v>
      </c>
      <c r="BF45" s="11" t="s">
        <v>629</v>
      </c>
      <c r="BG45" s="285">
        <f>IF('Design Calculator'!F30="Soft Start",'Design Calculator'!F31-0.00001,'Design Calculator'!F79)</f>
        <v>0.99999</v>
      </c>
      <c r="BH45" s="11" t="s">
        <v>77</v>
      </c>
      <c r="BJ45" s="11" t="s">
        <v>629</v>
      </c>
      <c r="BK45" s="285">
        <f>IF('Design Calculator'!F30="Soft Start",'Design Calculator'!F31-0.00001,'Design Calculator'!F79)</f>
        <v>0.99999</v>
      </c>
      <c r="BL45" s="11" t="s">
        <v>77</v>
      </c>
      <c r="BN45" s="11" t="s">
        <v>629</v>
      </c>
      <c r="BO45" s="285">
        <f>IF('Design Calculator'!F30="Soft Start",'Design Calculator'!F31-0.00001,'Design Calculator'!F79)</f>
        <v>0.99999</v>
      </c>
      <c r="BP45" s="11" t="s">
        <v>77</v>
      </c>
      <c r="BR45" s="11" t="s">
        <v>629</v>
      </c>
      <c r="BS45" s="285">
        <f>IF('Design Calculator'!F30="Soft Start",'Design Calculator'!F31-0.00001,'Design Calculator'!F79)</f>
        <v>0.99999</v>
      </c>
      <c r="BT45" s="11" t="s">
        <v>77</v>
      </c>
      <c r="BV45" s="11" t="s">
        <v>629</v>
      </c>
      <c r="BW45" s="285">
        <f>IF('Design Calculator'!F30="Soft Start",'Design Calculator'!F31-0.00001,'Design Calculator'!F79)</f>
        <v>0.99999</v>
      </c>
      <c r="BX45" s="11" t="s">
        <v>77</v>
      </c>
    </row>
    <row r="46" ht="12.0" customHeight="1">
      <c r="B46" s="11"/>
      <c r="D46" s="11"/>
      <c r="F46" s="11"/>
      <c r="G46" s="11"/>
      <c r="H46" s="11"/>
      <c r="J46" s="11"/>
      <c r="K46" s="11"/>
      <c r="L46" s="11"/>
      <c r="N46" s="11"/>
      <c r="O46" s="11"/>
      <c r="P46" s="11"/>
      <c r="R46" s="11"/>
      <c r="S46" s="11"/>
      <c r="T46" s="11"/>
      <c r="V46" s="11"/>
      <c r="W46" s="11"/>
      <c r="X46" s="11"/>
      <c r="Z46" s="11"/>
      <c r="AA46" s="11"/>
      <c r="AB46" s="11"/>
      <c r="AD46" s="11"/>
      <c r="AE46" s="11"/>
      <c r="AF46" s="11"/>
      <c r="AH46" s="11"/>
      <c r="AI46" s="11"/>
      <c r="AJ46" s="11"/>
      <c r="AL46" s="11"/>
      <c r="AM46" s="11"/>
      <c r="AN46" s="11"/>
      <c r="AP46" s="11"/>
      <c r="AQ46" s="11"/>
      <c r="AR46" s="11"/>
      <c r="AT46" s="11"/>
      <c r="AU46" s="11"/>
      <c r="AV46" s="11"/>
      <c r="AX46" s="11"/>
      <c r="AY46" s="11"/>
      <c r="AZ46" s="11"/>
      <c r="BB46" s="11"/>
      <c r="BC46" s="11"/>
      <c r="BD46" s="11"/>
      <c r="BF46" s="11"/>
      <c r="BG46" s="11"/>
      <c r="BH46" s="11"/>
      <c r="BJ46" s="11"/>
      <c r="BK46" s="11"/>
      <c r="BL46" s="11"/>
      <c r="BN46" s="11"/>
      <c r="BO46" s="11"/>
      <c r="BP46" s="11"/>
      <c r="BR46" s="11"/>
      <c r="BS46" s="11"/>
      <c r="BT46" s="11"/>
      <c r="BV46" s="11"/>
      <c r="BW46" s="11"/>
      <c r="BX46" s="11"/>
    </row>
    <row r="47" ht="12.0" customHeight="1">
      <c r="B47" s="11" t="s">
        <v>630</v>
      </c>
      <c r="C47" s="11">
        <f>IF(C45&gt;B42,10,IF(C45&gt;B41,1,IF(C45&gt;B40,0.1,0.01)))</f>
        <v>0.1</v>
      </c>
      <c r="D47" s="11" t="s">
        <v>77</v>
      </c>
      <c r="F47" s="11" t="s">
        <v>630</v>
      </c>
      <c r="G47" s="11">
        <f>IF(G45&gt;F42,10,IF(G45&gt;F41,1,IF(G45&gt;F40,0.1,0.01)))</f>
        <v>0.1</v>
      </c>
      <c r="H47" s="11" t="s">
        <v>77</v>
      </c>
      <c r="J47" s="11" t="s">
        <v>630</v>
      </c>
      <c r="K47" s="11">
        <f>IF(K45&gt;J42,10,IF(K45&gt;J41,1,IF(K45&gt;J40,0.1,0.01)))</f>
        <v>0.1</v>
      </c>
      <c r="L47" s="11" t="s">
        <v>77</v>
      </c>
      <c r="N47" s="11" t="s">
        <v>630</v>
      </c>
      <c r="O47" s="11">
        <f>IF(O45&gt;N42,10,IF(O45&gt;N41,1,IF(O45&gt;N40,0.1,0.01)))</f>
        <v>0.1</v>
      </c>
      <c r="P47" s="11" t="s">
        <v>77</v>
      </c>
      <c r="R47" s="11" t="s">
        <v>630</v>
      </c>
      <c r="S47" s="11">
        <f>IF(S45&gt;R42,10,IF(S45&gt;R41,1,IF(S45&gt;R40,0.1,0.01)))</f>
        <v>0.1</v>
      </c>
      <c r="T47" s="11" t="s">
        <v>77</v>
      </c>
      <c r="V47" s="11" t="s">
        <v>630</v>
      </c>
      <c r="W47" s="11">
        <f>IF(W45&gt;V42,10,IF(W45&gt;V41,1,IF(W45&gt;V40,0.1,0.01)))</f>
        <v>0.1</v>
      </c>
      <c r="X47" s="11" t="s">
        <v>77</v>
      </c>
      <c r="Z47" s="11" t="s">
        <v>630</v>
      </c>
      <c r="AA47" s="11">
        <f>IF(AA45&gt;Z42,10,IF(AA45&gt;Z41,1,IF(AA45&gt;Z40,0.1,0.01)))</f>
        <v>0.1</v>
      </c>
      <c r="AB47" s="11" t="s">
        <v>77</v>
      </c>
      <c r="AD47" s="11" t="s">
        <v>630</v>
      </c>
      <c r="AE47" s="11">
        <f>IF(AE45&gt;AD42,10,IF(AE45&gt;AD41,1,IF(AE45&gt;AD40,0.1,0.01)))</f>
        <v>0.1</v>
      </c>
      <c r="AF47" s="11" t="s">
        <v>77</v>
      </c>
      <c r="AH47" s="11" t="s">
        <v>630</v>
      </c>
      <c r="AI47" s="11">
        <f>IF(AI45&gt;AH42,10,IF(AI45&gt;AH41,1,IF(AI45&gt;AH40,0.1,0.01)))</f>
        <v>0.1</v>
      </c>
      <c r="AJ47" s="11" t="s">
        <v>77</v>
      </c>
      <c r="AL47" s="11" t="s">
        <v>630</v>
      </c>
      <c r="AM47" s="11">
        <f>IF(AM45&gt;AL42,10,IF(AM45&gt;AL41,1,IF(AM45&gt;AL40,0.1,0.01)))</f>
        <v>0.1</v>
      </c>
      <c r="AN47" s="11" t="s">
        <v>77</v>
      </c>
      <c r="AP47" s="11" t="s">
        <v>630</v>
      </c>
      <c r="AQ47" s="11">
        <f>IF(AQ45&gt;AP42,10,IF(AQ45&gt;AP41,1,IF(AQ45&gt;AP40,0.1,0.01)))</f>
        <v>0.1</v>
      </c>
      <c r="AR47" s="11" t="s">
        <v>77</v>
      </c>
      <c r="AT47" s="11" t="s">
        <v>630</v>
      </c>
      <c r="AU47" s="11">
        <f>IF(AU45&gt;AT42,10,IF(AU45&gt;AT41,1,IF(AU45&gt;AT40,0.1,0.01)))</f>
        <v>0.1</v>
      </c>
      <c r="AV47" s="11" t="s">
        <v>77</v>
      </c>
      <c r="AX47" s="11" t="s">
        <v>630</v>
      </c>
      <c r="AY47" s="11">
        <f>IF(AY45&gt;AX42,10,IF(AY45&gt;AX41,1,IF(AY45&gt;AX40,0.1,0.01)))</f>
        <v>0.1</v>
      </c>
      <c r="AZ47" s="11" t="s">
        <v>77</v>
      </c>
      <c r="BB47" s="11" t="s">
        <v>630</v>
      </c>
      <c r="BC47" s="11">
        <f>IF(BC45&gt;BB42,10,IF(BC45&gt;BB41,1,IF(BC45&gt;BB40,0.1,0.01)))</f>
        <v>0.1</v>
      </c>
      <c r="BD47" s="11" t="s">
        <v>77</v>
      </c>
      <c r="BF47" s="11" t="s">
        <v>630</v>
      </c>
      <c r="BG47" s="11">
        <f>IF(BG45&gt;BF42,10,IF(BG45&gt;BF41,1,IF(BG45&gt;BF40,0.1,0.01)))</f>
        <v>0.1</v>
      </c>
      <c r="BH47" s="11" t="s">
        <v>77</v>
      </c>
      <c r="BJ47" s="11" t="s">
        <v>630</v>
      </c>
      <c r="BK47" s="11">
        <f>IF(BK45&gt;BJ42,10,IF(BK45&gt;BJ41,1,IF(BK45&gt;BJ40,0.1,0.01)))</f>
        <v>0.1</v>
      </c>
      <c r="BL47" s="11" t="s">
        <v>77</v>
      </c>
      <c r="BN47" s="11" t="s">
        <v>630</v>
      </c>
      <c r="BO47" s="11">
        <f>IF(BO45&gt;BN42,10,IF(BO45&gt;BN41,1,IF(BO45&gt;BN40,0.1,0.01)))</f>
        <v>0.1</v>
      </c>
      <c r="BP47" s="11" t="s">
        <v>77</v>
      </c>
      <c r="BR47" s="11" t="s">
        <v>630</v>
      </c>
      <c r="BS47" s="11">
        <f>IF(BS45&gt;BR42,10,IF(BS45&gt;BR41,1,IF(BS45&gt;BR40,0.1,0.01)))</f>
        <v>0.1</v>
      </c>
      <c r="BT47" s="11" t="s">
        <v>77</v>
      </c>
      <c r="BV47" s="11" t="s">
        <v>630</v>
      </c>
      <c r="BW47" s="11">
        <f>IF(BW45&gt;BV42,10,IF(BW45&gt;BV41,1,IF(BW45&gt;BV40,0.1,0.01)))</f>
        <v>0.1</v>
      </c>
      <c r="BX47" s="11" t="s">
        <v>77</v>
      </c>
    </row>
    <row r="48" ht="12.0" customHeight="1">
      <c r="B48" s="11" t="s">
        <v>631</v>
      </c>
      <c r="C48" s="143">
        <f>LOOKUP(C47,B39:B43,C39:C43)</f>
        <v>200</v>
      </c>
      <c r="D48" s="11" t="s">
        <v>58</v>
      </c>
      <c r="F48" s="11" t="s">
        <v>631</v>
      </c>
      <c r="G48" s="143">
        <f>LOOKUP(G47,F39:F43,G39:G43)</f>
        <v>240</v>
      </c>
      <c r="H48" s="11" t="s">
        <v>58</v>
      </c>
      <c r="J48" s="11" t="s">
        <v>631</v>
      </c>
      <c r="K48" s="143">
        <f>LOOKUP(K47,J39:J43,K39:K43)</f>
        <v>240</v>
      </c>
      <c r="L48" s="11" t="s">
        <v>58</v>
      </c>
      <c r="N48" s="11" t="s">
        <v>631</v>
      </c>
      <c r="O48" s="143">
        <f>LOOKUP(O47,N39:N43,O39:O43)</f>
        <v>116.6254164</v>
      </c>
      <c r="P48" s="11" t="s">
        <v>58</v>
      </c>
      <c r="R48" s="11" t="s">
        <v>631</v>
      </c>
      <c r="S48" s="143">
        <f>LOOKUP(S47,R39:R43,S39:S43)</f>
        <v>320</v>
      </c>
      <c r="T48" s="11" t="s">
        <v>58</v>
      </c>
      <c r="V48" s="11" t="s">
        <v>631</v>
      </c>
      <c r="W48" s="143">
        <f>LOOKUP(W47,V39:V43,W39:W43)</f>
        <v>200.8</v>
      </c>
      <c r="X48" s="11" t="s">
        <v>58</v>
      </c>
      <c r="Z48" s="11" t="s">
        <v>631</v>
      </c>
      <c r="AA48" s="143">
        <f>LOOKUP(AA47,Z39:Z43,AA39:AA43)</f>
        <v>30.19522897</v>
      </c>
      <c r="AB48" s="11" t="s">
        <v>58</v>
      </c>
      <c r="AD48" s="11" t="s">
        <v>631</v>
      </c>
      <c r="AE48" s="143">
        <f>LOOKUP(AE47,AD39:AD43,AE39:AE43)</f>
        <v>104.8985119</v>
      </c>
      <c r="AF48" s="11" t="s">
        <v>58</v>
      </c>
      <c r="AH48" s="11" t="s">
        <v>631</v>
      </c>
      <c r="AI48" s="143">
        <f>LOOKUP(AI47,AH39:AH43,AI39:AI43)</f>
        <v>115.699923</v>
      </c>
      <c r="AJ48" s="11" t="s">
        <v>58</v>
      </c>
      <c r="AL48" s="11" t="s">
        <v>631</v>
      </c>
      <c r="AM48" s="143">
        <f>LOOKUP(AM47,AL39:AL43,AM39:AM43)</f>
        <v>29.89147038</v>
      </c>
      <c r="AN48" s="11" t="s">
        <v>58</v>
      </c>
      <c r="AP48" s="11" t="s">
        <v>631</v>
      </c>
      <c r="AQ48" s="143">
        <f>LOOKUP(AQ47,AP39:AP43,AQ39:AQ43)</f>
        <v>70.17976532</v>
      </c>
      <c r="AR48" s="11" t="s">
        <v>58</v>
      </c>
      <c r="AT48" s="11" t="s">
        <v>631</v>
      </c>
      <c r="AU48" s="143">
        <f>LOOKUP(AU47,AT39:AT43,AU39:AU43)</f>
        <v>28.00522903</v>
      </c>
      <c r="AV48" s="11" t="s">
        <v>58</v>
      </c>
      <c r="AX48" s="11" t="s">
        <v>631</v>
      </c>
      <c r="AY48" s="143">
        <f>LOOKUP(AY47,AX39:AX43,AY39:AY43)</f>
        <v>19.52210378</v>
      </c>
      <c r="AZ48" s="11" t="s">
        <v>58</v>
      </c>
      <c r="BB48" s="11" t="s">
        <v>631</v>
      </c>
      <c r="BC48" s="143">
        <f>LOOKUP(BC47,BB39:BB43,BC39:BC43)</f>
        <v>15</v>
      </c>
      <c r="BD48" s="11" t="s">
        <v>58</v>
      </c>
      <c r="BF48" s="11" t="s">
        <v>631</v>
      </c>
      <c r="BG48" s="143">
        <f>LOOKUP(BG47,BF39:BF43,BG39:BG43)</f>
        <v>23.69296388</v>
      </c>
      <c r="BH48" s="11" t="s">
        <v>58</v>
      </c>
      <c r="BJ48" s="11" t="s">
        <v>631</v>
      </c>
      <c r="BK48" s="143">
        <f>LOOKUP(BK47,BJ39:BJ43,BK39:BK43)</f>
        <v>21.08432394</v>
      </c>
      <c r="BL48" s="11" t="s">
        <v>58</v>
      </c>
      <c r="BN48" s="11" t="s">
        <v>631</v>
      </c>
      <c r="BO48" s="143">
        <f>LOOKUP(BO47,BN39:BN43,BO39:BO43)</f>
        <v>26.21396981</v>
      </c>
      <c r="BP48" s="11" t="s">
        <v>58</v>
      </c>
      <c r="BR48" s="11" t="s">
        <v>631</v>
      </c>
      <c r="BS48" s="143">
        <f>LOOKUP(BS47,BR39:BR43,BS39:BS43)</f>
        <v>31.99570962</v>
      </c>
      <c r="BT48" s="11" t="s">
        <v>58</v>
      </c>
      <c r="BV48" s="11" t="s">
        <v>631</v>
      </c>
      <c r="BW48" s="143">
        <f>LOOKUP(BW47,BV39:BV43,BW39:BW43)</f>
        <v>10.01776882</v>
      </c>
      <c r="BX48" s="11" t="s">
        <v>58</v>
      </c>
    </row>
    <row r="49" ht="12.0" customHeight="1">
      <c r="B49" s="11" t="s">
        <v>632</v>
      </c>
      <c r="C49" s="11">
        <f>IF(C45&lt;B39,0.01,IF(C45&lt;B40,0.1,IF(C45&lt;B41,1,IF(C45&lt;B42,10,100))))</f>
        <v>1</v>
      </c>
      <c r="D49" s="11" t="s">
        <v>77</v>
      </c>
      <c r="F49" s="11" t="s">
        <v>632</v>
      </c>
      <c r="G49" s="11">
        <f>IF(G45&lt;F39,0.01,IF(G45&lt;F40,0.1,IF(G45&lt;F41,1,IF(G45&lt;F42,10,100))))</f>
        <v>1</v>
      </c>
      <c r="H49" s="11" t="s">
        <v>77</v>
      </c>
      <c r="J49" s="11" t="s">
        <v>632</v>
      </c>
      <c r="K49" s="11">
        <f>IF(K45&lt;J39,0.01,IF(K45&lt;J40,0.1,IF(K45&lt;J41,1,IF(K45&lt;J42,10,100))))</f>
        <v>1</v>
      </c>
      <c r="L49" s="11" t="s">
        <v>77</v>
      </c>
      <c r="N49" s="11" t="s">
        <v>632</v>
      </c>
      <c r="O49" s="11">
        <f>IF(O45&lt;N39,0.01,IF(O45&lt;N40,0.1,IF(O45&lt;N41,1,IF(O45&lt;N42,10,100))))</f>
        <v>1</v>
      </c>
      <c r="P49" s="11" t="s">
        <v>77</v>
      </c>
      <c r="R49" s="11" t="s">
        <v>632</v>
      </c>
      <c r="S49" s="11">
        <f>IF(S45&lt;R39,0.01,IF(S45&lt;R40,0.1,IF(S45&lt;R41,1,IF(S45&lt;R42,10,100))))</f>
        <v>1</v>
      </c>
      <c r="T49" s="11" t="s">
        <v>77</v>
      </c>
      <c r="V49" s="11" t="s">
        <v>632</v>
      </c>
      <c r="W49" s="11">
        <f>IF(W45&lt;V39,0.01,IF(W45&lt;V40,0.1,IF(W45&lt;V41,1,IF(W45&lt;V42,10,100))))</f>
        <v>1</v>
      </c>
      <c r="X49" s="11" t="s">
        <v>77</v>
      </c>
      <c r="Z49" s="11" t="s">
        <v>632</v>
      </c>
      <c r="AA49" s="11">
        <f>IF(AA45&lt;Z39,0.01,IF(AA45&lt;Z40,0.1,IF(AA45&lt;Z41,1,IF(AA45&lt;Z42,10,100))))</f>
        <v>1</v>
      </c>
      <c r="AB49" s="11" t="s">
        <v>77</v>
      </c>
      <c r="AD49" s="11" t="s">
        <v>632</v>
      </c>
      <c r="AE49" s="11">
        <f>IF(AE45&lt;AD39,0.01,IF(AE45&lt;AD40,0.1,IF(AE45&lt;AD41,1,IF(AE45&lt;AD42,10,100))))</f>
        <v>1</v>
      </c>
      <c r="AF49" s="11" t="s">
        <v>77</v>
      </c>
      <c r="AH49" s="11" t="s">
        <v>632</v>
      </c>
      <c r="AI49" s="11">
        <f>IF(AI45&lt;AH39,0.01,IF(AI45&lt;AH40,0.1,IF(AI45&lt;AH41,1,IF(AI45&lt;AH42,10,100))))</f>
        <v>1</v>
      </c>
      <c r="AJ49" s="11" t="s">
        <v>77</v>
      </c>
      <c r="AL49" s="11" t="s">
        <v>632</v>
      </c>
      <c r="AM49" s="11">
        <f>IF(AM45&lt;AL39,0.01,IF(AM45&lt;AL40,0.1,IF(AM45&lt;AL41,1,IF(AM45&lt;AL42,10,100))))</f>
        <v>1</v>
      </c>
      <c r="AN49" s="11" t="s">
        <v>77</v>
      </c>
      <c r="AP49" s="11" t="s">
        <v>632</v>
      </c>
      <c r="AQ49" s="11">
        <f>IF(AQ45&lt;AP39,0.01,IF(AQ45&lt;AP40,0.1,IF(AQ45&lt;AP41,1,IF(AQ45&lt;AP42,10,100))))</f>
        <v>1</v>
      </c>
      <c r="AR49" s="11" t="s">
        <v>77</v>
      </c>
      <c r="AT49" s="11" t="s">
        <v>632</v>
      </c>
      <c r="AU49" s="11">
        <f>IF(AU45&lt;AT39,0.01,IF(AU45&lt;AT40,0.1,IF(AU45&lt;AT41,1,IF(AU45&lt;AT42,10,100))))</f>
        <v>1</v>
      </c>
      <c r="AV49" s="11" t="s">
        <v>77</v>
      </c>
      <c r="AX49" s="11" t="s">
        <v>632</v>
      </c>
      <c r="AY49" s="11">
        <f>IF(AY45&lt;AX39,0.01,IF(AY45&lt;AX40,0.1,IF(AY45&lt;AX41,1,IF(AY45&lt;AX42,10,100))))</f>
        <v>1</v>
      </c>
      <c r="AZ49" s="11" t="s">
        <v>77</v>
      </c>
      <c r="BB49" s="11" t="s">
        <v>632</v>
      </c>
      <c r="BC49" s="11">
        <f>IF(BC45&lt;BB39,0.01,IF(BC45&lt;BB40,0.1,IF(BC45&lt;BB41,1,IF(BC45&lt;BB42,10,100))))</f>
        <v>1</v>
      </c>
      <c r="BD49" s="11" t="s">
        <v>77</v>
      </c>
      <c r="BF49" s="11" t="s">
        <v>632</v>
      </c>
      <c r="BG49" s="11">
        <f>IF(BG45&lt;BF39,0.01,IF(BG45&lt;BF40,0.1,IF(BG45&lt;BF41,1,IF(BG45&lt;BF42,10,100))))</f>
        <v>1</v>
      </c>
      <c r="BH49" s="11" t="s">
        <v>77</v>
      </c>
      <c r="BJ49" s="11" t="s">
        <v>632</v>
      </c>
      <c r="BK49" s="11">
        <f>IF(BK45&lt;BJ39,0.01,IF(BK45&lt;BJ40,0.1,IF(BK45&lt;BJ41,1,IF(BK45&lt;BJ42,10,100))))</f>
        <v>1</v>
      </c>
      <c r="BL49" s="11" t="s">
        <v>77</v>
      </c>
      <c r="BN49" s="11" t="s">
        <v>632</v>
      </c>
      <c r="BO49" s="11">
        <f>IF(BO45&lt;BN39,0.01,IF(BO45&lt;BN40,0.1,IF(BO45&lt;BN41,1,IF(BO45&lt;BN42,10,100))))</f>
        <v>1</v>
      </c>
      <c r="BP49" s="11" t="s">
        <v>77</v>
      </c>
      <c r="BR49" s="11" t="s">
        <v>632</v>
      </c>
      <c r="BS49" s="11">
        <f>IF(BS45&lt;BR39,0.01,IF(BS45&lt;BR40,0.1,IF(BS45&lt;BR41,1,IF(BS45&lt;BR42,10,100))))</f>
        <v>1</v>
      </c>
      <c r="BT49" s="11" t="s">
        <v>77</v>
      </c>
      <c r="BV49" s="11" t="s">
        <v>632</v>
      </c>
      <c r="BW49" s="11">
        <f>IF(BW45&lt;BV39,0.01,IF(BW45&lt;BV40,0.1,IF(BW45&lt;BV41,1,IF(BW45&lt;BV42,10,100))))</f>
        <v>1</v>
      </c>
      <c r="BX49" s="11" t="s">
        <v>77</v>
      </c>
    </row>
    <row r="50" ht="12.0" customHeight="1">
      <c r="B50" s="11" t="s">
        <v>633</v>
      </c>
      <c r="C50" s="143">
        <f>LOOKUP(C49,B39:B43,C39:C43)</f>
        <v>15</v>
      </c>
      <c r="D50" s="11" t="s">
        <v>58</v>
      </c>
      <c r="F50" s="11" t="s">
        <v>633</v>
      </c>
      <c r="G50" s="143">
        <f>LOOKUP(G49,F39:F43,G39:G43)</f>
        <v>34.54647226</v>
      </c>
      <c r="H50" s="11" t="s">
        <v>58</v>
      </c>
      <c r="J50" s="11" t="s">
        <v>633</v>
      </c>
      <c r="K50" s="143">
        <f>LOOKUP(K49,J39:J43,K39:K43)</f>
        <v>23.01669877</v>
      </c>
      <c r="L50" s="11" t="s">
        <v>58</v>
      </c>
      <c r="N50" s="11" t="s">
        <v>633</v>
      </c>
      <c r="O50" s="143">
        <f>LOOKUP(O49,N39:N43,O39:O43)</f>
        <v>13.45503614</v>
      </c>
      <c r="P50" s="11" t="s">
        <v>58</v>
      </c>
      <c r="R50" s="11" t="s">
        <v>633</v>
      </c>
      <c r="S50" s="143">
        <f>LOOKUP(S49,R39:R43,S39:S43)</f>
        <v>28.43460726</v>
      </c>
      <c r="T50" s="11" t="s">
        <v>58</v>
      </c>
      <c r="V50" s="11" t="s">
        <v>633</v>
      </c>
      <c r="W50" s="143">
        <f>LOOKUP(W49,V39:V43,W39:W43)</f>
        <v>18.30787245</v>
      </c>
      <c r="X50" s="11" t="s">
        <v>58</v>
      </c>
      <c r="Z50" s="11" t="s">
        <v>633</v>
      </c>
      <c r="AA50" s="143">
        <f>LOOKUP(AA49,Z39:Z43,AA39:AA43)</f>
        <v>9.491090981</v>
      </c>
      <c r="AB50" s="11" t="s">
        <v>58</v>
      </c>
      <c r="AD50" s="11" t="s">
        <v>633</v>
      </c>
      <c r="AE50" s="143">
        <f>LOOKUP(AE49,AD39:AD43,AE39:AE43)</f>
        <v>8.685817111</v>
      </c>
      <c r="AF50" s="11" t="s">
        <v>58</v>
      </c>
      <c r="AH50" s="11" t="s">
        <v>633</v>
      </c>
      <c r="AI50" s="143">
        <f>LOOKUP(AI49,AH39:AH43,AI39:AI43)</f>
        <v>13.70189187</v>
      </c>
      <c r="AJ50" s="11" t="s">
        <v>58</v>
      </c>
      <c r="AL50" s="11" t="s">
        <v>633</v>
      </c>
      <c r="AM50" s="143">
        <f>LOOKUP(AM49,AL39:AL43,AM39:AM43)</f>
        <v>9.110628118</v>
      </c>
      <c r="AN50" s="11" t="s">
        <v>58</v>
      </c>
      <c r="AP50" s="11" t="s">
        <v>633</v>
      </c>
      <c r="AQ50" s="143">
        <f>LOOKUP(AQ49,AP39:AP43,AQ39:AQ43)</f>
        <v>14.12494515</v>
      </c>
      <c r="AR50" s="11" t="s">
        <v>58</v>
      </c>
      <c r="AT50" s="11" t="s">
        <v>633</v>
      </c>
      <c r="AU50" s="143">
        <f>LOOKUP(AU49,AT39:AT43,AU39:AU43)</f>
        <v>9.210106053</v>
      </c>
      <c r="AV50" s="11" t="s">
        <v>58</v>
      </c>
      <c r="AX50" s="11" t="s">
        <v>633</v>
      </c>
      <c r="AY50" s="143">
        <f>LOOKUP(AY49,AX39:AX43,AY39:AY43)</f>
        <v>5.577254403</v>
      </c>
      <c r="AZ50" s="11" t="s">
        <v>58</v>
      </c>
      <c r="BB50" s="11" t="s">
        <v>633</v>
      </c>
      <c r="BC50" s="143">
        <f>LOOKUP(BC49,BB39:BB43,BC39:BC43)</f>
        <v>6.00174675</v>
      </c>
      <c r="BD50" s="11" t="s">
        <v>58</v>
      </c>
      <c r="BF50" s="11" t="s">
        <v>633</v>
      </c>
      <c r="BG50" s="143">
        <f>LOOKUP(BG49,BF39:BF43,BG39:BG43)</f>
        <v>7.492353955</v>
      </c>
      <c r="BH50" s="11" t="s">
        <v>58</v>
      </c>
      <c r="BJ50" s="11" t="s">
        <v>633</v>
      </c>
      <c r="BK50" s="143">
        <f>LOOKUP(BK49,BJ39:BJ43,BK39:BK43)</f>
        <v>5.296048069</v>
      </c>
      <c r="BL50" s="11" t="s">
        <v>58</v>
      </c>
      <c r="BN50" s="11" t="s">
        <v>633</v>
      </c>
      <c r="BO50" s="143">
        <f>LOOKUP(BO49,BN39:BN43,BO39:BO43)</f>
        <v>4.770957949</v>
      </c>
      <c r="BP50" s="11" t="s">
        <v>58</v>
      </c>
      <c r="BR50" s="11" t="s">
        <v>633</v>
      </c>
      <c r="BS50" s="143">
        <f>LOOKUP(BS49,BR39:BR43,BS39:BS43)</f>
        <v>3.899971559</v>
      </c>
      <c r="BT50" s="11" t="s">
        <v>58</v>
      </c>
      <c r="BV50" s="11" t="s">
        <v>633</v>
      </c>
      <c r="BW50" s="143">
        <f>LOOKUP(BW49,BV39:BV43,BW39:BW43)</f>
        <v>3.107951323</v>
      </c>
      <c r="BX50" s="11" t="s">
        <v>58</v>
      </c>
    </row>
    <row r="51" ht="12.0" customHeight="1">
      <c r="B51" s="11"/>
      <c r="C51" s="11"/>
      <c r="D51" s="11"/>
      <c r="F51" s="11"/>
      <c r="G51" s="11"/>
      <c r="H51" s="11"/>
      <c r="J51" s="11"/>
      <c r="K51" s="11"/>
      <c r="L51" s="11"/>
      <c r="N51" s="11"/>
      <c r="O51" s="11"/>
      <c r="P51" s="11"/>
      <c r="R51" s="11"/>
      <c r="S51" s="11"/>
      <c r="T51" s="11"/>
      <c r="V51" s="11"/>
      <c r="W51" s="11"/>
      <c r="X51" s="11"/>
      <c r="Z51" s="11"/>
      <c r="AA51" s="11"/>
      <c r="AB51" s="11"/>
      <c r="AD51" s="11"/>
      <c r="AE51" s="11"/>
      <c r="AF51" s="11"/>
      <c r="AH51" s="11"/>
      <c r="AI51" s="11"/>
      <c r="AJ51" s="11"/>
      <c r="AL51" s="11"/>
      <c r="AM51" s="11"/>
      <c r="AN51" s="11"/>
      <c r="AP51" s="11"/>
      <c r="AQ51" s="11"/>
      <c r="AR51" s="11"/>
      <c r="AT51" s="11"/>
      <c r="AU51" s="11"/>
      <c r="AV51" s="11"/>
      <c r="AX51" s="11"/>
      <c r="AY51" s="11"/>
      <c r="AZ51" s="11"/>
      <c r="BB51" s="11"/>
      <c r="BC51" s="11"/>
      <c r="BD51" s="11"/>
      <c r="BF51" s="11"/>
      <c r="BG51" s="11"/>
      <c r="BH51" s="11"/>
      <c r="BJ51" s="11"/>
      <c r="BK51" s="11"/>
      <c r="BL51" s="11"/>
      <c r="BN51" s="11"/>
      <c r="BO51" s="11"/>
      <c r="BP51" s="11"/>
      <c r="BR51" s="11"/>
      <c r="BS51" s="11"/>
      <c r="BT51" s="11"/>
      <c r="BV51" s="11"/>
      <c r="BW51" s="11"/>
      <c r="BX51" s="11"/>
    </row>
    <row r="52" ht="12.0" customHeight="1">
      <c r="B52" s="11" t="s">
        <v>634</v>
      </c>
      <c r="C52" s="11">
        <f>C48/C47^C53</f>
        <v>15</v>
      </c>
      <c r="D52" s="11"/>
      <c r="F52" s="11" t="s">
        <v>634</v>
      </c>
      <c r="G52" s="11">
        <f>G48/G47^G53</f>
        <v>34.54647226</v>
      </c>
      <c r="H52" s="11"/>
      <c r="J52" s="11" t="s">
        <v>634</v>
      </c>
      <c r="K52" s="11">
        <f>K48/K47^K53</f>
        <v>23.01669877</v>
      </c>
      <c r="L52" s="11"/>
      <c r="N52" s="11" t="s">
        <v>634</v>
      </c>
      <c r="O52" s="11">
        <f>O48/O47^O53</f>
        <v>13.45503614</v>
      </c>
      <c r="P52" s="11"/>
      <c r="R52" s="11" t="s">
        <v>634</v>
      </c>
      <c r="S52" s="11">
        <f>S48/S47^S53</f>
        <v>28.43460726</v>
      </c>
      <c r="T52" s="11"/>
      <c r="V52" s="11" t="s">
        <v>634</v>
      </c>
      <c r="W52" s="11">
        <f>W48/W47^W53</f>
        <v>18.30787245</v>
      </c>
      <c r="X52" s="11"/>
      <c r="Z52" s="11" t="s">
        <v>634</v>
      </c>
      <c r="AA52" s="11">
        <f>AA48/AA47^AA53</f>
        <v>9.491090981</v>
      </c>
      <c r="AB52" s="11"/>
      <c r="AD52" s="11" t="s">
        <v>634</v>
      </c>
      <c r="AE52" s="11">
        <f>AE48/AE47^AE53</f>
        <v>8.685817111</v>
      </c>
      <c r="AF52" s="11"/>
      <c r="AH52" s="11" t="s">
        <v>634</v>
      </c>
      <c r="AI52" s="11">
        <f>AI48/AI47^AI53</f>
        <v>13.70189187</v>
      </c>
      <c r="AJ52" s="11"/>
      <c r="AL52" s="11" t="s">
        <v>634</v>
      </c>
      <c r="AM52" s="11">
        <f>AM48/AM47^AM53</f>
        <v>9.110628118</v>
      </c>
      <c r="AN52" s="11"/>
      <c r="AP52" s="11" t="s">
        <v>634</v>
      </c>
      <c r="AQ52" s="11">
        <f>AQ48/AQ47^AQ53</f>
        <v>14.12494515</v>
      </c>
      <c r="AR52" s="11"/>
      <c r="AT52" s="11" t="s">
        <v>634</v>
      </c>
      <c r="AU52" s="11">
        <f>AU48/AU47^AU53</f>
        <v>9.210106053</v>
      </c>
      <c r="AV52" s="11"/>
      <c r="AX52" s="11" t="s">
        <v>634</v>
      </c>
      <c r="AY52" s="11">
        <f>AY48/AY47^AY53</f>
        <v>5.577254403</v>
      </c>
      <c r="AZ52" s="11"/>
      <c r="BB52" s="11" t="s">
        <v>634</v>
      </c>
      <c r="BC52" s="11">
        <f>BC48/BC47^BC53</f>
        <v>6.00174675</v>
      </c>
      <c r="BD52" s="11"/>
      <c r="BF52" s="11" t="s">
        <v>634</v>
      </c>
      <c r="BG52" s="11">
        <f>BG48/BG47^BG53</f>
        <v>7.492353955</v>
      </c>
      <c r="BH52" s="11"/>
      <c r="BJ52" s="11" t="s">
        <v>634</v>
      </c>
      <c r="BK52" s="11">
        <f>BK48/BK47^BK53</f>
        <v>5.296048069</v>
      </c>
      <c r="BL52" s="11"/>
      <c r="BN52" s="11" t="s">
        <v>634</v>
      </c>
      <c r="BO52" s="11">
        <f>BO48/BO47^BO53</f>
        <v>4.770957949</v>
      </c>
      <c r="BP52" s="11"/>
      <c r="BR52" s="11" t="s">
        <v>634</v>
      </c>
      <c r="BS52" s="11">
        <f>BS48/BS47^BS53</f>
        <v>3.899971559</v>
      </c>
      <c r="BT52" s="11"/>
      <c r="BV52" s="11" t="s">
        <v>634</v>
      </c>
      <c r="BW52" s="11">
        <f>BW48/BW47^BW53</f>
        <v>3.107951323</v>
      </c>
      <c r="BX52" s="11"/>
    </row>
    <row r="53" ht="12.0" customHeight="1">
      <c r="B53" s="11" t="s">
        <v>635</v>
      </c>
      <c r="C53" s="11">
        <f>IF(C49=C47,1E-14,LOG(C48/C50)/LOG(C47/C49))</f>
        <v>-1.124938737</v>
      </c>
      <c r="D53" s="11"/>
      <c r="F53" s="11" t="s">
        <v>635</v>
      </c>
      <c r="G53" s="11">
        <f>IF(G49=G47,1E-14,LOG(G48/G50)/LOG(G47/G49))</f>
        <v>-0.841807536</v>
      </c>
      <c r="H53" s="11"/>
      <c r="J53" s="11" t="s">
        <v>635</v>
      </c>
      <c r="K53" s="11">
        <f>IF(K49=K47,1E-14,LOG(K48/K50)/LOG(K47/K49))</f>
        <v>-1.018168208</v>
      </c>
      <c r="L53" s="11"/>
      <c r="N53" s="11" t="s">
        <v>635</v>
      </c>
      <c r="O53" s="11">
        <f>IF(O49=O47,1E-14,LOG(O48/O50)/LOG(O47/O49))</f>
        <v>-0.9379083388</v>
      </c>
      <c r="P53" s="11"/>
      <c r="R53" s="11" t="s">
        <v>635</v>
      </c>
      <c r="S53" s="11">
        <f>IF(S49=S47,1E-14,LOG(S48/S50)/LOG(S47/S49))</f>
        <v>-1.051302744</v>
      </c>
      <c r="T53" s="11"/>
      <c r="V53" s="11" t="s">
        <v>635</v>
      </c>
      <c r="W53" s="11">
        <f>IF(W49=W47,1E-14,LOG(W48/W50)/LOG(W47/W49))</f>
        <v>-1.04012583</v>
      </c>
      <c r="X53" s="11"/>
      <c r="Z53" s="11" t="s">
        <v>635</v>
      </c>
      <c r="AA53" s="11">
        <f>IF(AA49=AA47,1E-14,LOG(AA48/AA50)/LOG(AA47/AA49))</f>
        <v>-0.5026221907</v>
      </c>
      <c r="AB53" s="11"/>
      <c r="AD53" s="11" t="s">
        <v>635</v>
      </c>
      <c r="AE53" s="11">
        <f>IF(AE49=AE47,1E-14,LOG(AE48/AE50)/LOG(AE47/AE49))</f>
        <v>-1.081958647</v>
      </c>
      <c r="AF53" s="11"/>
      <c r="AH53" s="11" t="s">
        <v>635</v>
      </c>
      <c r="AI53" s="11">
        <f>IF(AI49=AI47,1E-14,LOG(AI48/AI50)/LOG(AI47/AI49))</f>
        <v>-0.9265525338</v>
      </c>
      <c r="AJ53" s="11"/>
      <c r="AL53" s="11" t="s">
        <v>635</v>
      </c>
      <c r="AM53" s="11">
        <f>IF(AM49=AM47,1E-14,LOG(AM48/AM50)/LOG(AM47/AM49))</f>
        <v>-0.515998959</v>
      </c>
      <c r="AN53" s="11"/>
      <c r="AP53" s="11" t="s">
        <v>635</v>
      </c>
      <c r="AQ53" s="11">
        <f>IF(AQ49=AQ47,1E-14,LOG(AQ48/AQ50)/LOG(AQ47/AQ49))</f>
        <v>-0.6962251416</v>
      </c>
      <c r="AR53" s="11"/>
      <c r="AT53" s="11" t="s">
        <v>635</v>
      </c>
      <c r="AU53" s="11">
        <f>IF(AU49=AU47,1E-14,LOG(AU48/AU50)/LOG(AU47/AU49))</f>
        <v>-0.4829744976</v>
      </c>
      <c r="AV53" s="11"/>
      <c r="AX53" s="11" t="s">
        <v>635</v>
      </c>
      <c r="AY53" s="11">
        <f>IF(AY49=AY47,1E-14,LOG(AY48/AY50)/LOG(AY47/AY49))</f>
        <v>-0.5441061621</v>
      </c>
      <c r="AZ53" s="11"/>
      <c r="BB53" s="11" t="s">
        <v>635</v>
      </c>
      <c r="BC53" s="11">
        <f>IF(BC49=BC47,1E-14,LOG(BC48/BC50)/LOG(BC47/BC49))</f>
        <v>-0.3978135931</v>
      </c>
      <c r="BD53" s="11"/>
      <c r="BF53" s="11" t="s">
        <v>635</v>
      </c>
      <c r="BG53" s="11">
        <f>IF(BG49=BG47,1E-14,LOG(BG48/BG50)/LOG(BG47/BG49))</f>
        <v>-0.5000011061</v>
      </c>
      <c r="BH53" s="11"/>
      <c r="BJ53" s="11" t="s">
        <v>635</v>
      </c>
      <c r="BK53" s="11">
        <f>IF(BK49=BK47,1E-14,LOG(BK48/BK50)/LOG(BK47/BK49))</f>
        <v>-0.6000077618</v>
      </c>
      <c r="BL53" s="11"/>
      <c r="BN53" s="11" t="s">
        <v>635</v>
      </c>
      <c r="BO53" s="11">
        <f>IF(BO49=BO47,1E-14,LOG(BO48/BO50)/LOG(BO47/BO49))</f>
        <v>-0.7399272061</v>
      </c>
      <c r="BP53" s="11"/>
      <c r="BR53" s="11" t="s">
        <v>635</v>
      </c>
      <c r="BS53" s="11">
        <f>IF(BS49=BS47,1E-14,LOG(BS48/BS50)/LOG(BS47/BS49))</f>
        <v>-0.9140303068</v>
      </c>
      <c r="BT53" s="11"/>
      <c r="BV53" s="11" t="s">
        <v>635</v>
      </c>
      <c r="BW53" s="11">
        <f>IF(BW49=BW47,1E-14,LOG(BW48/BW50)/LOG(BW47/BW49))</f>
        <v>-0.5082967968</v>
      </c>
      <c r="BX53" s="11"/>
    </row>
    <row r="54" ht="12.0" customHeight="1">
      <c r="B54" s="11"/>
      <c r="C54" s="11"/>
      <c r="D54" s="11"/>
      <c r="F54" s="11"/>
      <c r="G54" s="11"/>
      <c r="H54" s="11"/>
      <c r="J54" s="11"/>
      <c r="K54" s="11"/>
      <c r="L54" s="11"/>
      <c r="N54" s="11"/>
      <c r="O54" s="11"/>
      <c r="P54" s="11"/>
      <c r="R54" s="11"/>
      <c r="S54" s="11"/>
      <c r="T54" s="11"/>
      <c r="V54" s="11"/>
      <c r="W54" s="11"/>
      <c r="X54" s="11"/>
      <c r="Z54" s="11"/>
      <c r="AA54" s="11"/>
      <c r="AB54" s="11"/>
      <c r="AD54" s="11"/>
      <c r="AE54" s="11"/>
      <c r="AF54" s="11"/>
      <c r="AH54" s="11"/>
      <c r="AI54" s="11"/>
      <c r="AJ54" s="11"/>
      <c r="AL54" s="11"/>
      <c r="AM54" s="11"/>
      <c r="AN54" s="11"/>
      <c r="AP54" s="11"/>
      <c r="AQ54" s="11"/>
      <c r="AR54" s="11"/>
      <c r="AT54" s="11"/>
      <c r="AU54" s="11"/>
      <c r="AV54" s="11"/>
      <c r="AX54" s="11"/>
      <c r="AY54" s="11"/>
      <c r="AZ54" s="11"/>
      <c r="BB54" s="11"/>
      <c r="BC54" s="11"/>
      <c r="BD54" s="11"/>
      <c r="BF54" s="11"/>
      <c r="BG54" s="11"/>
      <c r="BH54" s="11"/>
      <c r="BJ54" s="11"/>
      <c r="BK54" s="11"/>
      <c r="BL54" s="11"/>
      <c r="BN54" s="11"/>
      <c r="BO54" s="11"/>
      <c r="BP54" s="11"/>
      <c r="BR54" s="11"/>
      <c r="BS54" s="11"/>
      <c r="BT54" s="11"/>
      <c r="BV54" s="11"/>
      <c r="BW54" s="11"/>
      <c r="BX54" s="11"/>
    </row>
    <row r="55" ht="12.0" customHeight="1">
      <c r="B55" s="11" t="s">
        <v>636</v>
      </c>
      <c r="C55" s="11">
        <f>C52*C45^C53</f>
        <v>15.00016874</v>
      </c>
      <c r="D55" s="11" t="s">
        <v>58</v>
      </c>
      <c r="F55" s="11" t="s">
        <v>636</v>
      </c>
      <c r="G55" s="11">
        <f>G52*G45^G53</f>
        <v>34.54676308</v>
      </c>
      <c r="H55" s="11" t="s">
        <v>58</v>
      </c>
      <c r="J55" s="11" t="s">
        <v>636</v>
      </c>
      <c r="K55" s="11">
        <f>K52*K45^K53</f>
        <v>23.01693312</v>
      </c>
      <c r="L55" s="11" t="s">
        <v>58</v>
      </c>
      <c r="N55" s="11" t="s">
        <v>636</v>
      </c>
      <c r="O55" s="11">
        <f>O52*O45^O53</f>
        <v>13.45516234</v>
      </c>
      <c r="P55" s="11" t="s">
        <v>58</v>
      </c>
      <c r="R55" s="11" t="s">
        <v>636</v>
      </c>
      <c r="S55" s="11">
        <f>S52*S45^S53</f>
        <v>28.4349062</v>
      </c>
      <c r="T55" s="11" t="s">
        <v>58</v>
      </c>
      <c r="V55" s="11" t="s">
        <v>636</v>
      </c>
      <c r="W55" s="11">
        <f>W52*W45^W53</f>
        <v>18.30806288</v>
      </c>
      <c r="X55" s="11" t="s">
        <v>58</v>
      </c>
      <c r="Z55" s="11" t="s">
        <v>636</v>
      </c>
      <c r="AA55" s="11">
        <f>AA52*AA45^AA53</f>
        <v>9.491138686</v>
      </c>
      <c r="AB55" s="11" t="s">
        <v>58</v>
      </c>
      <c r="AD55" s="11" t="s">
        <v>636</v>
      </c>
      <c r="AE55" s="11">
        <f>AE52*AE45^AE53</f>
        <v>8.685911088</v>
      </c>
      <c r="AF55" s="11" t="s">
        <v>58</v>
      </c>
      <c r="AH55" s="11" t="s">
        <v>636</v>
      </c>
      <c r="AI55" s="11">
        <f>AI52*AI45^AI53</f>
        <v>13.70201883</v>
      </c>
      <c r="AJ55" s="11" t="s">
        <v>58</v>
      </c>
      <c r="AL55" s="11" t="s">
        <v>636</v>
      </c>
      <c r="AM55" s="11">
        <f>AM52*AM45^AM53</f>
        <v>9.110675129</v>
      </c>
      <c r="AN55" s="11" t="s">
        <v>58</v>
      </c>
      <c r="AP55" s="11" t="s">
        <v>636</v>
      </c>
      <c r="AQ55" s="11">
        <f>AQ52*AQ45^AQ53</f>
        <v>14.12504349</v>
      </c>
      <c r="AR55" s="11" t="s">
        <v>58</v>
      </c>
      <c r="AT55" s="11" t="s">
        <v>636</v>
      </c>
      <c r="AU55" s="11">
        <f>AU52*AU45^AU53</f>
        <v>9.210150535</v>
      </c>
      <c r="AV55" s="11" t="s">
        <v>58</v>
      </c>
      <c r="AX55" s="11" t="s">
        <v>636</v>
      </c>
      <c r="AY55" s="11">
        <f>AY52*AY45^AY53</f>
        <v>5.577284749</v>
      </c>
      <c r="AZ55" s="11" t="s">
        <v>58</v>
      </c>
      <c r="BB55" s="11" t="s">
        <v>636</v>
      </c>
      <c r="BC55" s="11">
        <f>BC52*BC45^BC53</f>
        <v>6.001770626</v>
      </c>
      <c r="BD55" s="11" t="s">
        <v>58</v>
      </c>
      <c r="BF55" s="11" t="s">
        <v>636</v>
      </c>
      <c r="BG55" s="11">
        <f>BG52*BG45^BG53</f>
        <v>7.492391417</v>
      </c>
      <c r="BH55" s="11" t="s">
        <v>58</v>
      </c>
      <c r="BJ55" s="11" t="s">
        <v>636</v>
      </c>
      <c r="BK55" s="11">
        <f>BK52*BK45^BK53</f>
        <v>5.296079845</v>
      </c>
      <c r="BL55" s="11" t="s">
        <v>58</v>
      </c>
      <c r="BN55" s="11" t="s">
        <v>636</v>
      </c>
      <c r="BO55" s="11">
        <f>BO52*BO45^BO53</f>
        <v>4.770993251</v>
      </c>
      <c r="BP55" s="11" t="s">
        <v>58</v>
      </c>
      <c r="BR55" s="11" t="s">
        <v>636</v>
      </c>
      <c r="BS55" s="11">
        <f>BS52*BS45^BS53</f>
        <v>3.900007207</v>
      </c>
      <c r="BT55" s="11" t="s">
        <v>58</v>
      </c>
      <c r="BV55" s="11" t="s">
        <v>636</v>
      </c>
      <c r="BW55" s="11">
        <f>BW52*BW45^BW53</f>
        <v>3.107967121</v>
      </c>
      <c r="BX55" s="11" t="s">
        <v>58</v>
      </c>
    </row>
    <row r="56" ht="12.0" customHeight="1">
      <c r="B56" s="11" t="s">
        <v>637</v>
      </c>
      <c r="C56" s="11">
        <f>C55*VINMAX</f>
        <v>450.0050623</v>
      </c>
      <c r="D56" s="11" t="s">
        <v>88</v>
      </c>
      <c r="F56" s="11" t="s">
        <v>637</v>
      </c>
      <c r="G56" s="11">
        <f>G55*VINMAX</f>
        <v>1036.402892</v>
      </c>
      <c r="H56" s="11" t="s">
        <v>88</v>
      </c>
      <c r="J56" s="11" t="s">
        <v>637</v>
      </c>
      <c r="K56" s="11">
        <f>K55*VINMAX</f>
        <v>690.5079937</v>
      </c>
      <c r="L56" s="11" t="s">
        <v>88</v>
      </c>
      <c r="N56" s="11" t="s">
        <v>637</v>
      </c>
      <c r="O56" s="11">
        <f>O55*VINMAX</f>
        <v>403.6548702</v>
      </c>
      <c r="P56" s="11" t="s">
        <v>88</v>
      </c>
      <c r="R56" s="11" t="s">
        <v>637</v>
      </c>
      <c r="S56" s="11">
        <f>S55*VINMAX</f>
        <v>853.047186</v>
      </c>
      <c r="T56" s="11" t="s">
        <v>88</v>
      </c>
      <c r="V56" s="11" t="s">
        <v>637</v>
      </c>
      <c r="W56" s="11">
        <f>W55*VINMAX</f>
        <v>549.2418864</v>
      </c>
      <c r="X56" s="11" t="s">
        <v>88</v>
      </c>
      <c r="Z56" s="11" t="s">
        <v>637</v>
      </c>
      <c r="AA56" s="11">
        <f>AA55*VINMAX</f>
        <v>284.7341606</v>
      </c>
      <c r="AB56" s="11" t="s">
        <v>88</v>
      </c>
      <c r="AD56" s="11" t="s">
        <v>637</v>
      </c>
      <c r="AE56" s="11">
        <f>AE55*VINMAX</f>
        <v>260.5773327</v>
      </c>
      <c r="AF56" s="11" t="s">
        <v>88</v>
      </c>
      <c r="AH56" s="11" t="s">
        <v>637</v>
      </c>
      <c r="AI56" s="11">
        <f>AI55*VINMAX</f>
        <v>411.0605649</v>
      </c>
      <c r="AJ56" s="11" t="s">
        <v>88</v>
      </c>
      <c r="AL56" s="11" t="s">
        <v>637</v>
      </c>
      <c r="AM56" s="11">
        <f>AM55*VINMAX</f>
        <v>273.3202539</v>
      </c>
      <c r="AN56" s="11" t="s">
        <v>88</v>
      </c>
      <c r="AP56" s="11" t="s">
        <v>637</v>
      </c>
      <c r="AQ56" s="11">
        <f>AQ55*VINMAX</f>
        <v>423.7513048</v>
      </c>
      <c r="AR56" s="11" t="s">
        <v>88</v>
      </c>
      <c r="AT56" s="11" t="s">
        <v>637</v>
      </c>
      <c r="AU56" s="11">
        <f>AU55*VINMAX</f>
        <v>276.3045161</v>
      </c>
      <c r="AV56" s="11" t="s">
        <v>88</v>
      </c>
      <c r="AX56" s="11" t="s">
        <v>637</v>
      </c>
      <c r="AY56" s="11">
        <f>AY55*VINMAX</f>
        <v>167.3185425</v>
      </c>
      <c r="AZ56" s="11" t="s">
        <v>88</v>
      </c>
      <c r="BB56" s="11" t="s">
        <v>637</v>
      </c>
      <c r="BC56" s="11">
        <f>BC55*VINMAX</f>
        <v>180.0531188</v>
      </c>
      <c r="BD56" s="11" t="s">
        <v>88</v>
      </c>
      <c r="BF56" s="11" t="s">
        <v>637</v>
      </c>
      <c r="BG56" s="11">
        <f>BG55*VINMAX</f>
        <v>224.7717425</v>
      </c>
      <c r="BH56" s="11" t="s">
        <v>88</v>
      </c>
      <c r="BJ56" s="11" t="s">
        <v>637</v>
      </c>
      <c r="BK56" s="11">
        <f>BK55*VINMAX</f>
        <v>158.8823954</v>
      </c>
      <c r="BL56" s="11" t="s">
        <v>88</v>
      </c>
      <c r="BN56" s="11" t="s">
        <v>637</v>
      </c>
      <c r="BO56" s="11">
        <f>BO55*VINMAX</f>
        <v>143.1297975</v>
      </c>
      <c r="BP56" s="11" t="s">
        <v>88</v>
      </c>
      <c r="BR56" s="11" t="s">
        <v>637</v>
      </c>
      <c r="BS56" s="11">
        <f>BS55*VINMAX</f>
        <v>117.0002162</v>
      </c>
      <c r="BT56" s="11" t="s">
        <v>88</v>
      </c>
      <c r="BV56" s="11" t="s">
        <v>637</v>
      </c>
      <c r="BW56" s="11">
        <f>BW55*VINMAX</f>
        <v>93.23901363</v>
      </c>
      <c r="BX56" s="11" t="s">
        <v>88</v>
      </c>
    </row>
    <row r="57" ht="12.0" customHeight="1">
      <c r="B57" s="11"/>
      <c r="C57" s="11"/>
      <c r="D57" s="11"/>
      <c r="F57" s="11"/>
      <c r="G57" s="11"/>
      <c r="H57" s="11"/>
      <c r="J57" s="11"/>
      <c r="K57" s="11"/>
      <c r="L57" s="11"/>
      <c r="N57" s="11"/>
      <c r="O57" s="11"/>
      <c r="P57" s="11"/>
      <c r="R57" s="11"/>
      <c r="S57" s="11"/>
      <c r="T57" s="11"/>
      <c r="V57" s="11"/>
      <c r="W57" s="11"/>
      <c r="X57" s="11"/>
      <c r="Z57" s="11"/>
      <c r="AA57" s="11"/>
      <c r="AB57" s="11"/>
      <c r="AD57" s="11"/>
      <c r="AE57" s="11"/>
      <c r="AF57" s="11"/>
      <c r="AH57" s="11"/>
      <c r="AI57" s="11"/>
      <c r="AJ57" s="11"/>
      <c r="AL57" s="11"/>
      <c r="AM57" s="11"/>
      <c r="AN57" s="11"/>
      <c r="AP57" s="11"/>
      <c r="AQ57" s="11"/>
      <c r="AR57" s="11"/>
      <c r="AT57" s="11"/>
      <c r="AU57" s="11"/>
      <c r="AV57" s="11"/>
      <c r="AX57" s="11"/>
      <c r="AY57" s="11"/>
      <c r="AZ57" s="11"/>
      <c r="BB57" s="11"/>
      <c r="BC57" s="11"/>
      <c r="BD57" s="11"/>
      <c r="BF57" s="11"/>
      <c r="BG57" s="11"/>
      <c r="BH57" s="11"/>
      <c r="BJ57" s="11"/>
      <c r="BK57" s="11"/>
      <c r="BL57" s="11"/>
      <c r="BN57" s="11"/>
      <c r="BO57" s="11"/>
      <c r="BP57" s="11"/>
      <c r="BR57" s="11"/>
      <c r="BS57" s="11"/>
      <c r="BT57" s="11"/>
      <c r="BV57" s="11"/>
      <c r="BW57" s="11"/>
      <c r="BX57" s="11"/>
    </row>
    <row r="58" ht="12.0" customHeight="1">
      <c r="B58" s="11" t="s">
        <v>638</v>
      </c>
      <c r="C58" s="11">
        <f>(C6-C34)/(C6-25)</f>
        <v>0.5424</v>
      </c>
      <c r="D58" s="11"/>
      <c r="F58" s="11" t="s">
        <v>638</v>
      </c>
      <c r="G58" s="11">
        <f>(G6-G34)/(G6-25)</f>
        <v>0.571328</v>
      </c>
      <c r="H58" s="11"/>
      <c r="J58" s="11" t="s">
        <v>638</v>
      </c>
      <c r="K58" s="11">
        <f>(K6-K34)/(K6-25)</f>
        <v>0.56416</v>
      </c>
      <c r="L58" s="11"/>
      <c r="N58" s="11" t="s">
        <v>638</v>
      </c>
      <c r="O58" s="11">
        <f>(O6-O34)/(O6-25)</f>
        <v>0.5600128</v>
      </c>
      <c r="P58" s="11"/>
      <c r="R58" s="11" t="s">
        <v>638</v>
      </c>
      <c r="S58" s="11">
        <f>(S6-S34)/(S6-25)</f>
        <v>0.557312</v>
      </c>
      <c r="T58" s="11"/>
      <c r="V58" s="11" t="s">
        <v>638</v>
      </c>
      <c r="W58" s="11">
        <f>(W6-W34)/(W6-25)</f>
        <v>0.5420672</v>
      </c>
      <c r="X58" s="11"/>
      <c r="Z58" s="11" t="s">
        <v>638</v>
      </c>
      <c r="AA58" s="11">
        <f>(AA6-AA34)/(AA6-25)</f>
        <v>0.44184832</v>
      </c>
      <c r="AB58" s="11"/>
      <c r="AD58" s="11" t="s">
        <v>638</v>
      </c>
      <c r="AE58" s="11">
        <f>(AE6-AE34)/(AE6-25)</f>
        <v>0.43853056</v>
      </c>
      <c r="AF58" s="11"/>
      <c r="AH58" s="11" t="s">
        <v>638</v>
      </c>
      <c r="AI58" s="11">
        <f>(AI6-AI34)/(AI6-25)</f>
        <v>0.524736</v>
      </c>
      <c r="AJ58" s="11"/>
      <c r="AL58" s="11" t="s">
        <v>638</v>
      </c>
      <c r="AM58" s="11">
        <f>(AM6-AM34)/(AM6-25)</f>
        <v>0.42679552</v>
      </c>
      <c r="AN58" s="11"/>
      <c r="AP58" s="11" t="s">
        <v>638</v>
      </c>
      <c r="AQ58" s="11">
        <f>(AQ6-AQ34)/(AQ6-25)</f>
        <v>0.5204352</v>
      </c>
      <c r="AR58" s="11"/>
      <c r="AT58" s="11" t="s">
        <v>638</v>
      </c>
      <c r="AU58" s="11">
        <f>(AU6-AU34)/(AU6-25)</f>
        <v>0.41330944</v>
      </c>
      <c r="AV58" s="11"/>
      <c r="AX58" s="11" t="s">
        <v>638</v>
      </c>
      <c r="AY58" s="11">
        <f>(AY6-AY34)/(AY6-25)</f>
        <v>0.486016</v>
      </c>
      <c r="AZ58" s="11"/>
      <c r="BB58" s="11" t="s">
        <v>638</v>
      </c>
      <c r="BC58" s="11">
        <f>(BC6-BC34)/(BC6-25)</f>
        <v>0.5689536</v>
      </c>
      <c r="BD58" s="11"/>
      <c r="BF58" s="11" t="s">
        <v>638</v>
      </c>
      <c r="BG58" s="11">
        <f>(BG6-BG34)/(BG6-25)</f>
        <v>0.47926528</v>
      </c>
      <c r="BH58" s="11"/>
      <c r="BJ58" s="11" t="s">
        <v>638</v>
      </c>
      <c r="BK58" s="11">
        <f>(BK6-BK34)/(BK6-25)</f>
        <v>0.5534848</v>
      </c>
      <c r="BL58" s="11"/>
      <c r="BN58" s="11" t="s">
        <v>638</v>
      </c>
      <c r="BO58" s="11">
        <f>(BO6-BO34)/(BO6-25)</f>
        <v>0.463552</v>
      </c>
      <c r="BP58" s="11"/>
      <c r="BR58" s="11" t="s">
        <v>638</v>
      </c>
      <c r="BS58" s="11">
        <f>(BS6-BS34)/(BS6-25)</f>
        <v>0.46449664</v>
      </c>
      <c r="BT58" s="11"/>
      <c r="BV58" s="11" t="s">
        <v>638</v>
      </c>
      <c r="BW58" s="11">
        <f>(BW6-BW34)/(BW6-25)</f>
        <v>0.4411264</v>
      </c>
      <c r="BX58" s="11"/>
    </row>
    <row r="59" ht="12.0" customHeight="1">
      <c r="B59" s="11" t="s">
        <v>639</v>
      </c>
      <c r="C59" s="11">
        <f>C58*C56</f>
        <v>244.0827458</v>
      </c>
      <c r="D59" s="11" t="s">
        <v>88</v>
      </c>
      <c r="F59" s="11" t="s">
        <v>639</v>
      </c>
      <c r="G59" s="11">
        <f>G58*G56</f>
        <v>592.1259917</v>
      </c>
      <c r="H59" s="11" t="s">
        <v>88</v>
      </c>
      <c r="J59" s="11" t="s">
        <v>639</v>
      </c>
      <c r="K59" s="11">
        <f>K58*K56</f>
        <v>389.5569897</v>
      </c>
      <c r="L59" s="11" t="s">
        <v>88</v>
      </c>
      <c r="N59" s="11" t="s">
        <v>639</v>
      </c>
      <c r="O59" s="11">
        <f>O58*O56</f>
        <v>226.0518941</v>
      </c>
      <c r="P59" s="11" t="s">
        <v>88</v>
      </c>
      <c r="R59" s="11" t="s">
        <v>639</v>
      </c>
      <c r="S59" s="11">
        <f>S58*S56</f>
        <v>475.4134333</v>
      </c>
      <c r="T59" s="11" t="s">
        <v>88</v>
      </c>
      <c r="V59" s="11" t="s">
        <v>639</v>
      </c>
      <c r="W59" s="11">
        <f>W58*W56</f>
        <v>297.7260115</v>
      </c>
      <c r="X59" s="11" t="s">
        <v>88</v>
      </c>
      <c r="Z59" s="11" t="s">
        <v>639</v>
      </c>
      <c r="AA59" s="11">
        <f>AA58*AA56</f>
        <v>125.8093105</v>
      </c>
      <c r="AB59" s="11" t="s">
        <v>88</v>
      </c>
      <c r="AD59" s="11" t="s">
        <v>639</v>
      </c>
      <c r="AE59" s="11">
        <f>AE58*AE56</f>
        <v>114.2711236</v>
      </c>
      <c r="AF59" s="11" t="s">
        <v>88</v>
      </c>
      <c r="AH59" s="11" t="s">
        <v>639</v>
      </c>
      <c r="AI59" s="11">
        <f>AI58*AI56</f>
        <v>215.6982766</v>
      </c>
      <c r="AJ59" s="11" t="s">
        <v>88</v>
      </c>
      <c r="AL59" s="11" t="s">
        <v>639</v>
      </c>
      <c r="AM59" s="11">
        <f>AM58*AM56</f>
        <v>116.6518599</v>
      </c>
      <c r="AN59" s="11" t="s">
        <v>88</v>
      </c>
      <c r="AP59" s="11" t="s">
        <v>639</v>
      </c>
      <c r="AQ59" s="11">
        <f>AQ58*AQ56</f>
        <v>220.5350951</v>
      </c>
      <c r="AR59" s="11" t="s">
        <v>88</v>
      </c>
      <c r="AT59" s="11" t="s">
        <v>639</v>
      </c>
      <c r="AU59" s="11">
        <f>AU58*AU56</f>
        <v>114.1992648</v>
      </c>
      <c r="AV59" s="11" t="s">
        <v>88</v>
      </c>
      <c r="AX59" s="11" t="s">
        <v>639</v>
      </c>
      <c r="AY59" s="11">
        <f>AY58*AY56</f>
        <v>81.31948874</v>
      </c>
      <c r="AZ59" s="11" t="s">
        <v>88</v>
      </c>
      <c r="BB59" s="11" t="s">
        <v>639</v>
      </c>
      <c r="BC59" s="11">
        <f>BC58*BC56</f>
        <v>102.4418701</v>
      </c>
      <c r="BD59" s="11" t="s">
        <v>88</v>
      </c>
      <c r="BF59" s="11" t="s">
        <v>639</v>
      </c>
      <c r="BG59" s="11">
        <f>BG58*BG56</f>
        <v>107.7252921</v>
      </c>
      <c r="BH59" s="11" t="s">
        <v>88</v>
      </c>
      <c r="BJ59" s="11" t="s">
        <v>639</v>
      </c>
      <c r="BK59" s="11">
        <f>BK58*BK56</f>
        <v>87.93899082</v>
      </c>
      <c r="BL59" s="11" t="s">
        <v>88</v>
      </c>
      <c r="BN59" s="11" t="s">
        <v>639</v>
      </c>
      <c r="BO59" s="11">
        <f>BO58*BO56</f>
        <v>66.34810391</v>
      </c>
      <c r="BP59" s="11" t="s">
        <v>88</v>
      </c>
      <c r="BR59" s="11" t="s">
        <v>639</v>
      </c>
      <c r="BS59" s="11">
        <f>BS58*BS56</f>
        <v>54.3462073</v>
      </c>
      <c r="BT59" s="11" t="s">
        <v>88</v>
      </c>
      <c r="BV59" s="11" t="s">
        <v>639</v>
      </c>
      <c r="BW59" s="11">
        <f>BW58*BW56</f>
        <v>41.13019042</v>
      </c>
      <c r="BX59" s="11" t="s">
        <v>88</v>
      </c>
    </row>
    <row r="60" ht="12.0" customHeight="1">
      <c r="B60" s="11"/>
      <c r="C60" s="11"/>
      <c r="D60" s="11"/>
      <c r="F60" s="11"/>
      <c r="G60" s="11"/>
      <c r="H60" s="11"/>
      <c r="J60" s="11"/>
      <c r="K60" s="11"/>
      <c r="L60" s="11"/>
      <c r="N60" s="11"/>
      <c r="O60" s="11"/>
      <c r="P60" s="11"/>
      <c r="R60" s="11"/>
      <c r="S60" s="11"/>
      <c r="T60" s="11"/>
      <c r="V60" s="11"/>
      <c r="W60" s="11"/>
      <c r="X60" s="11"/>
      <c r="Z60" s="11"/>
      <c r="AA60" s="11"/>
      <c r="AB60" s="11"/>
      <c r="AD60" s="11"/>
      <c r="AE60" s="11"/>
      <c r="AF60" s="11"/>
      <c r="AH60" s="11"/>
      <c r="AI60" s="11"/>
      <c r="AJ60" s="11"/>
      <c r="AL60" s="11"/>
      <c r="AM60" s="11"/>
      <c r="AN60" s="11"/>
      <c r="AP60" s="11"/>
      <c r="AQ60" s="11"/>
      <c r="AR60" s="11"/>
      <c r="AT60" s="11"/>
      <c r="AU60" s="11"/>
      <c r="AV60" s="11"/>
      <c r="AX60" s="11"/>
      <c r="AY60" s="11"/>
      <c r="AZ60" s="11"/>
      <c r="BB60" s="11"/>
      <c r="BC60" s="11"/>
      <c r="BD60" s="11"/>
      <c r="BF60" s="11"/>
      <c r="BG60" s="11"/>
      <c r="BH60" s="11"/>
      <c r="BJ60" s="11"/>
      <c r="BK60" s="11"/>
      <c r="BL60" s="11"/>
      <c r="BN60" s="11"/>
      <c r="BO60" s="11"/>
      <c r="BP60" s="11"/>
      <c r="BR60" s="11"/>
      <c r="BS60" s="11"/>
      <c r="BT60" s="11"/>
      <c r="BV60" s="11"/>
      <c r="BW60" s="11"/>
      <c r="BX60" s="11"/>
    </row>
    <row r="61" ht="12.0" customHeight="1">
      <c r="B61" s="11" t="s">
        <v>640</v>
      </c>
      <c r="C61" s="11">
        <f>C59/'Design Calculator'!F52</f>
        <v>3.467084457</v>
      </c>
      <c r="D61" s="11"/>
      <c r="F61" s="11" t="s">
        <v>640</v>
      </c>
      <c r="G61" s="11">
        <f>G59/'Design Calculator'!F52</f>
        <v>8.410880564</v>
      </c>
      <c r="H61" s="11"/>
      <c r="J61" s="11" t="s">
        <v>640</v>
      </c>
      <c r="K61" s="11">
        <f>K59/'Design Calculator'!F52</f>
        <v>5.533479968</v>
      </c>
      <c r="L61" s="11"/>
      <c r="N61" s="11" t="s">
        <v>640</v>
      </c>
      <c r="O61" s="11">
        <f>O59/'Design Calculator'!F52</f>
        <v>3.210964404</v>
      </c>
      <c r="P61" s="11"/>
      <c r="R61" s="11" t="s">
        <v>640</v>
      </c>
      <c r="S61" s="11">
        <f>S59/'Design Calculator'!F52</f>
        <v>6.753031723</v>
      </c>
      <c r="T61" s="11"/>
      <c r="V61" s="11" t="s">
        <v>640</v>
      </c>
      <c r="W61" s="11">
        <f>W59/'Design Calculator'!F52</f>
        <v>4.229062663</v>
      </c>
      <c r="X61" s="11"/>
      <c r="Z61" s="11" t="s">
        <v>640</v>
      </c>
      <c r="AA61" s="11">
        <f>AA59/'Design Calculator'!F52</f>
        <v>1.78706407</v>
      </c>
      <c r="AB61" s="11"/>
      <c r="AD61" s="11" t="s">
        <v>640</v>
      </c>
      <c r="AE61" s="11">
        <f>AE59/'Design Calculator'!F52</f>
        <v>1.623169369</v>
      </c>
      <c r="AF61" s="11"/>
      <c r="AH61" s="11" t="s">
        <v>640</v>
      </c>
      <c r="AI61" s="11">
        <f>AI59/'Design Calculator'!F52</f>
        <v>3.063895974</v>
      </c>
      <c r="AJ61" s="11"/>
      <c r="AL61" s="11" t="s">
        <v>640</v>
      </c>
      <c r="AM61" s="11">
        <f>AM59/'Design Calculator'!F52</f>
        <v>1.656986646</v>
      </c>
      <c r="AN61" s="11"/>
      <c r="AP61" s="11" t="s">
        <v>640</v>
      </c>
      <c r="AQ61" s="11">
        <f>AQ59/'Design Calculator'!F52</f>
        <v>3.132600782</v>
      </c>
      <c r="AR61" s="11"/>
      <c r="AT61" s="11" t="s">
        <v>640</v>
      </c>
      <c r="AU61" s="11">
        <f>AU59/'Design Calculator'!F52</f>
        <v>1.622148648</v>
      </c>
      <c r="AV61" s="11"/>
      <c r="AX61" s="11" t="s">
        <v>640</v>
      </c>
      <c r="AY61" s="11">
        <f>AY59/'Design Calculator'!F52</f>
        <v>1.155106374</v>
      </c>
      <c r="AZ61" s="11"/>
      <c r="BB61" s="11" t="s">
        <v>640</v>
      </c>
      <c r="BC61" s="11">
        <f>BC59/'Design Calculator'!F52</f>
        <v>1.4551402</v>
      </c>
      <c r="BD61" s="11"/>
      <c r="BF61" s="11" t="s">
        <v>640</v>
      </c>
      <c r="BG61" s="11">
        <f>BG59/'Design Calculator'!F52</f>
        <v>1.530188808</v>
      </c>
      <c r="BH61" s="11"/>
      <c r="BJ61" s="11" t="s">
        <v>640</v>
      </c>
      <c r="BK61" s="11">
        <f>BK59/'Design Calculator'!F52</f>
        <v>1.249133392</v>
      </c>
      <c r="BL61" s="11"/>
      <c r="BN61" s="11" t="s">
        <v>640</v>
      </c>
      <c r="BO61" s="11">
        <f>BO59/'Design Calculator'!F52</f>
        <v>0.9424446578</v>
      </c>
      <c r="BP61" s="11"/>
      <c r="BR61" s="11" t="s">
        <v>640</v>
      </c>
      <c r="BS61" s="11">
        <f>BS59/'Design Calculator'!F52</f>
        <v>0.7719631719</v>
      </c>
      <c r="BT61" s="11"/>
      <c r="BV61" s="11" t="s">
        <v>640</v>
      </c>
      <c r="BW61" s="11">
        <f>BW59/'Design Calculator'!F52</f>
        <v>0.5842356594</v>
      </c>
      <c r="BX61" s="11"/>
    </row>
    <row r="62" ht="12.0" customHeight="1">
      <c r="B62" s="11"/>
      <c r="C62" s="11"/>
      <c r="D62" s="11"/>
      <c r="F62" s="11"/>
      <c r="G62" s="11"/>
      <c r="H62" s="11"/>
      <c r="J62" s="11"/>
      <c r="K62" s="11"/>
      <c r="L62" s="11"/>
      <c r="N62" s="11"/>
      <c r="O62" s="11"/>
      <c r="P62" s="11"/>
      <c r="R62" s="11"/>
      <c r="S62" s="11"/>
      <c r="T62" s="11"/>
      <c r="V62" s="11"/>
      <c r="W62" s="11"/>
      <c r="X62" s="11"/>
      <c r="Z62" s="11"/>
      <c r="AA62" s="11"/>
      <c r="AB62" s="11"/>
      <c r="AD62" s="11"/>
      <c r="AE62" s="11"/>
      <c r="AF62" s="11"/>
      <c r="AH62" s="11"/>
      <c r="AI62" s="11"/>
      <c r="AJ62" s="11"/>
      <c r="AL62" s="11"/>
      <c r="AM62" s="11"/>
      <c r="AN62" s="11"/>
      <c r="AP62" s="11"/>
      <c r="AQ62" s="11"/>
      <c r="AR62" s="11"/>
      <c r="AT62" s="11"/>
      <c r="AU62" s="11"/>
      <c r="AV62" s="11"/>
      <c r="AX62" s="11"/>
      <c r="AY62" s="11"/>
      <c r="AZ62" s="11"/>
      <c r="BB62" s="11"/>
      <c r="BC62" s="11"/>
      <c r="BD62" s="11"/>
      <c r="BF62" s="11"/>
      <c r="BG62" s="11"/>
      <c r="BH62" s="11"/>
      <c r="BJ62" s="11"/>
      <c r="BK62" s="11"/>
      <c r="BL62" s="11"/>
      <c r="BN62" s="11"/>
      <c r="BO62" s="11"/>
      <c r="BP62" s="11"/>
      <c r="BR62" s="11"/>
      <c r="BS62" s="11"/>
      <c r="BT62" s="11"/>
      <c r="BV62" s="11"/>
      <c r="BW62" s="11"/>
      <c r="BX62" s="11"/>
    </row>
    <row r="63" ht="12.0" customHeight="1">
      <c r="B63" s="11" t="s">
        <v>641</v>
      </c>
      <c r="C63" s="11">
        <f>IF(C61&gt;1.3,1,0)</f>
        <v>1</v>
      </c>
      <c r="D63" s="11"/>
      <c r="F63" s="11" t="s">
        <v>641</v>
      </c>
      <c r="G63" s="11">
        <f>IF(G61&gt;1.3,1,0)</f>
        <v>1</v>
      </c>
      <c r="H63" s="11"/>
      <c r="J63" s="11" t="s">
        <v>641</v>
      </c>
      <c r="K63" s="11">
        <f>IF(K61&gt;1.3,1,0)</f>
        <v>1</v>
      </c>
      <c r="L63" s="11"/>
      <c r="N63" s="11" t="s">
        <v>641</v>
      </c>
      <c r="O63" s="11">
        <f>IF(O61&gt;1.3,1,0)</f>
        <v>1</v>
      </c>
      <c r="P63" s="11"/>
      <c r="R63" s="11" t="s">
        <v>641</v>
      </c>
      <c r="S63" s="11">
        <f>IF(S61&gt;1.3,1,0)</f>
        <v>1</v>
      </c>
      <c r="T63" s="11"/>
      <c r="V63" s="11" t="s">
        <v>641</v>
      </c>
      <c r="W63" s="11">
        <f>IF(W61&gt;1.3,1,0)</f>
        <v>1</v>
      </c>
      <c r="X63" s="11"/>
      <c r="Z63" s="11" t="s">
        <v>641</v>
      </c>
      <c r="AA63" s="11">
        <f>IF(AA61&gt;1.3,1,0)</f>
        <v>1</v>
      </c>
      <c r="AB63" s="11"/>
      <c r="AD63" s="11" t="s">
        <v>641</v>
      </c>
      <c r="AE63" s="11">
        <f>IF(AE61&gt;1.3,1,0)</f>
        <v>1</v>
      </c>
      <c r="AF63" s="11"/>
      <c r="AH63" s="11" t="s">
        <v>641</v>
      </c>
      <c r="AI63" s="11">
        <f>IF(AI61&gt;1.3,1,0)</f>
        <v>1</v>
      </c>
      <c r="AJ63" s="11"/>
      <c r="AL63" s="11" t="s">
        <v>641</v>
      </c>
      <c r="AM63" s="11">
        <f>IF(AM61&gt;1.3,1,0)</f>
        <v>1</v>
      </c>
      <c r="AN63" s="11"/>
      <c r="AP63" s="11" t="s">
        <v>641</v>
      </c>
      <c r="AQ63" s="11">
        <f>IF(AQ61&gt;1.3,1,0)</f>
        <v>1</v>
      </c>
      <c r="AR63" s="11"/>
      <c r="AT63" s="11" t="s">
        <v>641</v>
      </c>
      <c r="AU63" s="11">
        <f>IF(AU61&gt;1.3,1,0)</f>
        <v>1</v>
      </c>
      <c r="AV63" s="11"/>
      <c r="AX63" s="11" t="s">
        <v>641</v>
      </c>
      <c r="AY63" s="11">
        <f>IF(AY61&gt;1.3,1,0)</f>
        <v>0</v>
      </c>
      <c r="AZ63" s="11"/>
      <c r="BB63" s="11" t="s">
        <v>641</v>
      </c>
      <c r="BC63" s="11">
        <f>IF(BC61&gt;1.3,1,0)</f>
        <v>1</v>
      </c>
      <c r="BD63" s="11"/>
      <c r="BF63" s="11" t="s">
        <v>641</v>
      </c>
      <c r="BG63" s="11">
        <f>IF(BG61&gt;1.3,1,0)</f>
        <v>1</v>
      </c>
      <c r="BH63" s="11"/>
      <c r="BJ63" s="11" t="s">
        <v>641</v>
      </c>
      <c r="BK63" s="11">
        <f>IF(BK61&gt;1.3,1,0)</f>
        <v>0</v>
      </c>
      <c r="BL63" s="11"/>
      <c r="BN63" s="11" t="s">
        <v>641</v>
      </c>
      <c r="BO63" s="11">
        <f>IF(BO61&gt;1.3,1,0)</f>
        <v>0</v>
      </c>
      <c r="BP63" s="11"/>
      <c r="BR63" s="11" t="s">
        <v>641</v>
      </c>
      <c r="BS63" s="11">
        <f>IF(BS61&gt;1.3,1,0)</f>
        <v>0</v>
      </c>
      <c r="BT63" s="11"/>
      <c r="BV63" s="11" t="s">
        <v>641</v>
      </c>
      <c r="BW63" s="11">
        <f>IF(BW61&gt;1.3,1,0)</f>
        <v>0</v>
      </c>
      <c r="BX63" s="11"/>
    </row>
    <row r="64" ht="12.0" customHeight="1">
      <c r="B64" s="11"/>
      <c r="C64" s="11">
        <f>COLUMN()</f>
        <v>3</v>
      </c>
      <c r="D64" s="11"/>
      <c r="F64" s="11"/>
      <c r="G64" s="11">
        <f>COLUMN()</f>
        <v>7</v>
      </c>
      <c r="H64" s="11"/>
      <c r="J64" s="11"/>
      <c r="K64" s="11">
        <f>COLUMN()</f>
        <v>11</v>
      </c>
      <c r="L64" s="11"/>
      <c r="N64" s="11"/>
      <c r="O64" s="11">
        <f>COLUMN()</f>
        <v>15</v>
      </c>
      <c r="P64" s="11"/>
      <c r="R64" s="11"/>
      <c r="S64" s="11">
        <f>COLUMN()</f>
        <v>19</v>
      </c>
      <c r="T64" s="11"/>
      <c r="V64" s="11"/>
      <c r="W64" s="11">
        <f>COLUMN()</f>
        <v>23</v>
      </c>
      <c r="X64" s="11"/>
      <c r="Z64" s="11"/>
      <c r="AA64" s="11">
        <f>COLUMN()</f>
        <v>27</v>
      </c>
      <c r="AB64" s="11"/>
      <c r="AD64" s="11"/>
      <c r="AE64" s="11">
        <f>COLUMN()</f>
        <v>31</v>
      </c>
      <c r="AF64" s="11"/>
      <c r="AH64" s="11"/>
      <c r="AI64" s="11">
        <f>COLUMN()</f>
        <v>35</v>
      </c>
      <c r="AJ64" s="11"/>
      <c r="AL64" s="11"/>
      <c r="AM64" s="11">
        <f>COLUMN()</f>
        <v>39</v>
      </c>
      <c r="AN64" s="11"/>
      <c r="AP64" s="11"/>
      <c r="AQ64" s="11">
        <f>COLUMN()</f>
        <v>43</v>
      </c>
      <c r="AR64" s="11"/>
      <c r="AT64" s="11"/>
      <c r="AU64" s="11">
        <f>COLUMN()</f>
        <v>47</v>
      </c>
      <c r="AV64" s="11"/>
      <c r="AX64" s="11"/>
      <c r="AY64" s="11">
        <f>COLUMN()</f>
        <v>51</v>
      </c>
      <c r="AZ64" s="11"/>
      <c r="BB64" s="11"/>
      <c r="BC64" s="11">
        <f>COLUMN()</f>
        <v>55</v>
      </c>
      <c r="BD64" s="11"/>
      <c r="BF64" s="11"/>
      <c r="BG64" s="11">
        <f>COLUMN()</f>
        <v>59</v>
      </c>
      <c r="BH64" s="11"/>
      <c r="BJ64" s="11"/>
      <c r="BK64" s="11">
        <f>COLUMN()</f>
        <v>63</v>
      </c>
      <c r="BL64" s="11"/>
      <c r="BN64" s="11"/>
      <c r="BO64" s="11">
        <f>COLUMN()</f>
        <v>67</v>
      </c>
      <c r="BP64" s="11"/>
      <c r="BR64" s="11"/>
      <c r="BS64" s="11">
        <f>COLUMN()</f>
        <v>71</v>
      </c>
      <c r="BT64" s="11"/>
      <c r="BV64" s="11"/>
      <c r="BW64" s="11">
        <f>COLUMN()</f>
        <v>75</v>
      </c>
      <c r="BX64" s="11"/>
    </row>
    <row r="65" ht="12.0"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row>
    <row r="66" ht="12.0" customHeight="1"/>
    <row r="67" ht="12.0" customHeight="1">
      <c r="B67" s="11" t="s">
        <v>345</v>
      </c>
      <c r="C67" s="108" t="str">
        <f>LEFT('Design Calculator'!F54,FIND(" ",'Design Calculator'!F54)-1)</f>
        <v>CSD18536KTT</v>
      </c>
      <c r="D67" s="11"/>
      <c r="F67" s="11" t="s">
        <v>346</v>
      </c>
      <c r="G67" s="108" t="str">
        <f>LEFT('Design Calculator'!G54,FIND(" ",'Design Calculator'!G54)-1)</f>
        <v>CSD18540Q5B</v>
      </c>
      <c r="H67" s="11"/>
      <c r="J67" s="11" t="s">
        <v>347</v>
      </c>
      <c r="K67" s="108" t="str">
        <f>B4</f>
        <v>Vishay SiJ186DP</v>
      </c>
      <c r="L67" s="11"/>
    </row>
    <row r="68" ht="12.0" customHeight="1">
      <c r="B68" s="11" t="s">
        <v>642</v>
      </c>
      <c r="C68" s="108">
        <f>MATCH(SFET24_1,B4:BV4,0)+2</f>
        <v>7</v>
      </c>
      <c r="D68" s="11"/>
      <c r="F68" s="11" t="s">
        <v>642</v>
      </c>
      <c r="G68" s="11">
        <f>MATCH(SFET24_2,B4:BV4,0)+2</f>
        <v>15</v>
      </c>
      <c r="H68" s="11"/>
      <c r="J68" s="11" t="s">
        <v>642</v>
      </c>
      <c r="K68" s="108">
        <f>COLUMN(C:C)</f>
        <v>3</v>
      </c>
      <c r="L68" s="11"/>
    </row>
    <row r="69" ht="12.0" customHeight="1">
      <c r="B69" s="11"/>
      <c r="D69" s="11"/>
      <c r="F69" s="11"/>
      <c r="G69" s="11"/>
      <c r="H69" s="11"/>
      <c r="J69" s="11"/>
      <c r="L69" s="11"/>
    </row>
    <row r="70" ht="12.0" customHeight="1">
      <c r="B70" s="11">
        <v>0.01</v>
      </c>
      <c r="C70" s="286">
        <f>INDIRECT(ADDRESS(39,C68))</f>
        <v>400</v>
      </c>
      <c r="D70" s="11" t="s">
        <v>58</v>
      </c>
      <c r="F70" s="11">
        <v>0.01</v>
      </c>
      <c r="G70" s="143">
        <f>INDIRECT(ADDRESS(39,G68))</f>
        <v>400</v>
      </c>
      <c r="H70" s="11" t="s">
        <v>58</v>
      </c>
      <c r="J70" s="11">
        <v>0.01</v>
      </c>
      <c r="K70" s="286">
        <f>INDIRECT(ADDRESS(39,K68))</f>
        <v>200</v>
      </c>
      <c r="L70" s="11" t="s">
        <v>58</v>
      </c>
    </row>
    <row r="71" ht="12.0" customHeight="1">
      <c r="B71" s="11">
        <v>0.1</v>
      </c>
      <c r="C71" s="286">
        <f>INDIRECT(ADDRESS(40,C68))</f>
        <v>240</v>
      </c>
      <c r="D71" s="11" t="s">
        <v>58</v>
      </c>
      <c r="F71" s="11">
        <v>0.1</v>
      </c>
      <c r="G71" s="143">
        <f>INDIRECT(ADDRESS(40,G68))</f>
        <v>116.6254164</v>
      </c>
      <c r="H71" s="11" t="s">
        <v>58</v>
      </c>
      <c r="J71" s="11">
        <v>0.1</v>
      </c>
      <c r="K71" s="286">
        <f>INDIRECT(ADDRESS(40,K68))</f>
        <v>200</v>
      </c>
      <c r="L71" s="11" t="s">
        <v>58</v>
      </c>
    </row>
    <row r="72" ht="12.0" customHeight="1">
      <c r="B72" s="11">
        <v>1.0</v>
      </c>
      <c r="C72" s="143">
        <f>INDIRECT(ADDRESS(41,C68))</f>
        <v>34.54647226</v>
      </c>
      <c r="D72" s="11" t="s">
        <v>58</v>
      </c>
      <c r="F72" s="11">
        <v>1.0</v>
      </c>
      <c r="G72" s="143">
        <f>INDIRECT(ADDRESS(41,G68))</f>
        <v>13.45503614</v>
      </c>
      <c r="H72" s="11" t="s">
        <v>58</v>
      </c>
      <c r="J72" s="11">
        <v>1.0</v>
      </c>
      <c r="K72" s="286">
        <f>INDIRECT(ADDRESS(41,K68))</f>
        <v>15</v>
      </c>
      <c r="L72" s="11" t="s">
        <v>58</v>
      </c>
    </row>
    <row r="73" ht="12.0" customHeight="1">
      <c r="B73" s="11">
        <v>10.0</v>
      </c>
      <c r="C73" s="286">
        <f>INDIRECT(ADDRESS(42,C68))</f>
        <v>9.68788885</v>
      </c>
      <c r="D73" s="11" t="s">
        <v>58</v>
      </c>
      <c r="F73" s="11">
        <v>10.0</v>
      </c>
      <c r="G73" s="143">
        <f>INDIRECT(ADDRESS(42,G68))</f>
        <v>4.843587653</v>
      </c>
      <c r="H73" s="11" t="s">
        <v>58</v>
      </c>
      <c r="J73" s="11">
        <v>10.0</v>
      </c>
      <c r="K73" s="286">
        <f>INDIRECT(ADDRESS(42,K68))</f>
        <v>3</v>
      </c>
      <c r="L73" s="11" t="s">
        <v>58</v>
      </c>
    </row>
    <row r="74" ht="12.0" customHeight="1">
      <c r="B74" s="11">
        <v>100.0</v>
      </c>
      <c r="C74" s="286">
        <f>INDIRECT(ADDRESS(43,C68))</f>
        <v>4.975421315</v>
      </c>
      <c r="D74" s="11" t="s">
        <v>58</v>
      </c>
      <c r="F74" s="11">
        <v>100.0</v>
      </c>
      <c r="G74" s="143">
        <f>INDIRECT(ADDRESS(43,G68))</f>
        <v>2.377727406</v>
      </c>
      <c r="H74" s="11" t="s">
        <v>58</v>
      </c>
      <c r="J74" s="11">
        <v>100.0</v>
      </c>
      <c r="K74" s="286">
        <f>INDIRECT(ADDRESS(43,K68))</f>
        <v>0.65</v>
      </c>
      <c r="L74" s="11" t="s">
        <v>58</v>
      </c>
    </row>
    <row r="75" ht="12.0" customHeight="1">
      <c r="B75" s="11"/>
      <c r="D75" s="11"/>
      <c r="F75" s="11"/>
      <c r="G75" s="11"/>
      <c r="H75" s="11"/>
      <c r="J75" s="11"/>
      <c r="L75" s="11"/>
    </row>
    <row r="76" ht="12.0" customHeight="1">
      <c r="B76" s="11" t="s">
        <v>643</v>
      </c>
      <c r="C76" s="108">
        <f>INDIRECT(ADDRESS(33,C68))</f>
        <v>0.14336</v>
      </c>
      <c r="D76" s="11" t="s">
        <v>88</v>
      </c>
      <c r="F76" s="11" t="s">
        <v>643</v>
      </c>
      <c r="G76" s="11">
        <f>INDIRECT(ADDRESS(33,G68))</f>
        <v>0.199936</v>
      </c>
      <c r="H76" s="11" t="s">
        <v>88</v>
      </c>
      <c r="J76" s="11" t="s">
        <v>643</v>
      </c>
      <c r="K76" s="11">
        <f>INDIRECT(ADDRESS(33,K68))</f>
        <v>0.288</v>
      </c>
      <c r="L76" s="11" t="s">
        <v>88</v>
      </c>
    </row>
    <row r="77" ht="12.0" customHeight="1">
      <c r="B77" s="11" t="s">
        <v>603</v>
      </c>
      <c r="C77" s="108">
        <f>INDIRECT(ADDRESS(32,C68))</f>
        <v>1</v>
      </c>
      <c r="D77" s="11"/>
      <c r="F77" s="11" t="s">
        <v>603</v>
      </c>
      <c r="G77" s="11">
        <f>INDIRECT(ADDRESS(32,G68))</f>
        <v>1</v>
      </c>
      <c r="H77" s="11"/>
      <c r="J77" s="11" t="s">
        <v>603</v>
      </c>
      <c r="K77" s="11">
        <f>INDIRECT(ADDRESS(32,K68))</f>
        <v>1</v>
      </c>
      <c r="L77" s="11"/>
    </row>
    <row r="78" ht="12.0" customHeight="1">
      <c r="B78" s="11" t="s">
        <v>267</v>
      </c>
      <c r="C78" s="11">
        <f>INDIRECT(ADDRESS(34,C68))</f>
        <v>89.3008</v>
      </c>
      <c r="D78" s="11" t="s">
        <v>644</v>
      </c>
      <c r="F78" s="11" t="s">
        <v>267</v>
      </c>
      <c r="G78" s="11">
        <f>INDIRECT(ADDRESS(34,G68))</f>
        <v>90.99808</v>
      </c>
      <c r="H78" s="11" t="s">
        <v>645</v>
      </c>
      <c r="J78" s="11" t="s">
        <v>267</v>
      </c>
      <c r="K78" s="11">
        <f>INDIRECT(ADDRESS(34,K68))</f>
        <v>93.64</v>
      </c>
      <c r="L78" s="11" t="s">
        <v>646</v>
      </c>
    </row>
    <row r="79" ht="12.0" customHeight="1">
      <c r="B79" s="11" t="s">
        <v>333</v>
      </c>
      <c r="C79" s="108">
        <f>INDIRECT(ADDRESS(6,C68))</f>
        <v>175</v>
      </c>
      <c r="D79" s="11" t="s">
        <v>647</v>
      </c>
      <c r="F79" s="11" t="s">
        <v>333</v>
      </c>
      <c r="G79" s="11">
        <f>INDIRECT(ADDRESS(6,G68))</f>
        <v>175</v>
      </c>
      <c r="H79" s="11" t="s">
        <v>648</v>
      </c>
      <c r="J79" s="11" t="s">
        <v>333</v>
      </c>
      <c r="K79" s="11">
        <f>INDIRECT(ADDRESS(6,K68))</f>
        <v>175</v>
      </c>
      <c r="L79" s="11" t="s">
        <v>649</v>
      </c>
    </row>
    <row r="80" ht="12.0" customHeight="1">
      <c r="B80" s="11" t="s">
        <v>650</v>
      </c>
      <c r="C80" s="108">
        <f>INDIRECT(ADDRESS(7,C68))*INDIRECT(ADDRESS(29,C68))</f>
        <v>2.24</v>
      </c>
      <c r="D80" s="11" t="s">
        <v>651</v>
      </c>
      <c r="F80" s="11" t="s">
        <v>650</v>
      </c>
      <c r="G80" s="11">
        <f>INDIRECT(ADDRESS(7,G68))*INDIRECT(ADDRESS(29,G68))</f>
        <v>3.124</v>
      </c>
      <c r="H80" s="11" t="s">
        <v>652</v>
      </c>
      <c r="J80" s="11" t="s">
        <v>650</v>
      </c>
      <c r="K80" s="11">
        <f>INDIRECT(ADDRESS(7,K68))</f>
        <v>4.5</v>
      </c>
      <c r="L80" s="11" t="s">
        <v>653</v>
      </c>
    </row>
    <row r="81" ht="12.0" customHeight="1">
      <c r="B81" s="11" t="s">
        <v>640</v>
      </c>
      <c r="C81" s="108">
        <f>INDIRECT(ADDRESS(61,C68))</f>
        <v>8.410880564</v>
      </c>
      <c r="D81" s="11"/>
      <c r="F81" s="11" t="s">
        <v>640</v>
      </c>
      <c r="G81" s="11">
        <f>INDIRECT(ADDRESS(61,G68))</f>
        <v>3.210964404</v>
      </c>
      <c r="H81" s="11"/>
      <c r="J81" s="11" t="s">
        <v>640</v>
      </c>
      <c r="K81" s="11">
        <f>INDIRECT(ADDRESS(61,K68))</f>
        <v>3.467084457</v>
      </c>
      <c r="L81" s="11"/>
    </row>
    <row r="82" ht="12.0" customHeight="1">
      <c r="B82" s="11" t="s">
        <v>654</v>
      </c>
      <c r="C82" s="282" t="str">
        <f>HYPERLINK(INDIRECT(ADDRESS(5,C68)))</f>
        <v>https://www.ti.com/product/CSD18536KTT</v>
      </c>
      <c r="D82" s="11"/>
      <c r="F82" s="11" t="s">
        <v>654</v>
      </c>
      <c r="G82" s="282" t="str">
        <f>HYPERLINK(INDIRECT(ADDRESS(5,G68)))</f>
        <v>https://www.ti.com/product/CSD18540Q5B</v>
      </c>
      <c r="H82" s="11"/>
      <c r="J82" s="11" t="s">
        <v>654</v>
      </c>
      <c r="K82" s="235" t="str">
        <f>INDIRECT(ADDRESS(5,K68))</f>
        <v>Enter webpage link</v>
      </c>
      <c r="L82" s="11"/>
    </row>
    <row r="83" ht="12.0" customHeight="1">
      <c r="B83" s="11" t="s">
        <v>655</v>
      </c>
      <c r="C83" s="282" t="str">
        <f>HYPERLINK(INDIRECT(ADDRESS(30,C68)))</f>
        <v>https://www.ti.com/lit/gpn/csd18536ktt</v>
      </c>
      <c r="D83" s="11"/>
      <c r="F83" s="11" t="s">
        <v>655</v>
      </c>
      <c r="G83" s="282" t="str">
        <f>HYPERLINK(INDIRECT(ADDRESS(30,G68)))</f>
        <v>https://www.ti.com/lit/gpn/csd18540q5b</v>
      </c>
      <c r="H83" s="11"/>
      <c r="J83" s="11" t="s">
        <v>655</v>
      </c>
      <c r="K83" s="235" t="str">
        <f>INDIRECT(ADDRESS(30,K68))</f>
        <v>Not Applicable</v>
      </c>
      <c r="L83" s="11"/>
    </row>
    <row r="84" ht="12.0" customHeight="1">
      <c r="B84" s="11" t="s">
        <v>626</v>
      </c>
      <c r="C84" s="108">
        <f>INDIRECT(ADDRESS(35,C68))</f>
        <v>1.894</v>
      </c>
      <c r="D84" s="11" t="s">
        <v>656</v>
      </c>
      <c r="F84" s="11" t="s">
        <v>626</v>
      </c>
      <c r="G84" s="11">
        <f>INDIRECT(ADDRESS(35,G68))</f>
        <v>0.867</v>
      </c>
      <c r="H84" s="11" t="s">
        <v>656</v>
      </c>
      <c r="J84" s="11" t="s">
        <v>626</v>
      </c>
      <c r="K84" s="235" t="str">
        <f>INDIRECT(ADDRESS(35,K68))</f>
        <v>Enter cost details</v>
      </c>
      <c r="L84" s="11" t="s">
        <v>656</v>
      </c>
    </row>
    <row r="85" ht="12.0" customHeight="1"/>
    <row r="86" ht="12.0" customHeight="1"/>
    <row r="87" ht="12.0" customHeight="1"/>
    <row r="88" ht="12.0" customHeight="1"/>
    <row r="89" ht="12.0" customHeight="1">
      <c r="G89" s="11"/>
    </row>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conditionalFormatting sqref="B27:B28">
    <cfRule type="expression" dxfId="1" priority="1">
      <formula>#REF!="No"</formula>
    </cfRule>
  </conditionalFormatting>
  <conditionalFormatting sqref="B27:B28">
    <cfRule type="expression" dxfId="1" priority="2">
      <formula>#REF!="No"</formula>
    </cfRule>
  </conditionalFormatting>
  <conditionalFormatting sqref="F27:F28">
    <cfRule type="expression" dxfId="1" priority="3">
      <formula>#REF!="No"</formula>
    </cfRule>
  </conditionalFormatting>
  <conditionalFormatting sqref="F27:F28">
    <cfRule type="expression" dxfId="1" priority="4">
      <formula>#REF!="No"</formula>
    </cfRule>
  </conditionalFormatting>
  <conditionalFormatting sqref="J27:J28">
    <cfRule type="expression" dxfId="1" priority="5">
      <formula>#REF!="No"</formula>
    </cfRule>
  </conditionalFormatting>
  <conditionalFormatting sqref="J27:J28">
    <cfRule type="expression" dxfId="1" priority="6">
      <formula>#REF!="No"</formula>
    </cfRule>
  </conditionalFormatting>
  <conditionalFormatting sqref="N27:N28">
    <cfRule type="expression" dxfId="1" priority="7">
      <formula>#REF!="No"</formula>
    </cfRule>
  </conditionalFormatting>
  <conditionalFormatting sqref="N27:N28">
    <cfRule type="expression" dxfId="1" priority="8">
      <formula>#REF!="No"</formula>
    </cfRule>
  </conditionalFormatting>
  <conditionalFormatting sqref="R27:R28">
    <cfRule type="expression" dxfId="1" priority="9">
      <formula>#REF!="No"</formula>
    </cfRule>
  </conditionalFormatting>
  <conditionalFormatting sqref="R27:R28">
    <cfRule type="expression" dxfId="1" priority="10">
      <formula>#REF!="No"</formula>
    </cfRule>
  </conditionalFormatting>
  <conditionalFormatting sqref="V27:V28">
    <cfRule type="expression" dxfId="1" priority="11">
      <formula>#REF!="No"</formula>
    </cfRule>
  </conditionalFormatting>
  <conditionalFormatting sqref="V27:V28">
    <cfRule type="expression" dxfId="1" priority="12">
      <formula>#REF!="No"</formula>
    </cfRule>
  </conditionalFormatting>
  <conditionalFormatting sqref="Z27:Z28">
    <cfRule type="expression" dxfId="1" priority="13">
      <formula>#REF!="No"</formula>
    </cfRule>
  </conditionalFormatting>
  <conditionalFormatting sqref="Z27:Z28">
    <cfRule type="expression" dxfId="1" priority="14">
      <formula>#REF!="No"</formula>
    </cfRule>
  </conditionalFormatting>
  <conditionalFormatting sqref="AD27:AD28">
    <cfRule type="expression" dxfId="1" priority="15">
      <formula>#REF!="No"</formula>
    </cfRule>
  </conditionalFormatting>
  <conditionalFormatting sqref="AD27:AD28">
    <cfRule type="expression" dxfId="1" priority="16">
      <formula>#REF!="No"</formula>
    </cfRule>
  </conditionalFormatting>
  <conditionalFormatting sqref="AH27:AH28">
    <cfRule type="expression" dxfId="1" priority="17">
      <formula>#REF!="No"</formula>
    </cfRule>
  </conditionalFormatting>
  <conditionalFormatting sqref="AH27:AH28">
    <cfRule type="expression" dxfId="1" priority="18">
      <formula>#REF!="No"</formula>
    </cfRule>
  </conditionalFormatting>
  <conditionalFormatting sqref="AL27:AL28">
    <cfRule type="expression" dxfId="1" priority="19">
      <formula>#REF!="No"</formula>
    </cfRule>
  </conditionalFormatting>
  <conditionalFormatting sqref="AL27:AL28">
    <cfRule type="expression" dxfId="1" priority="20">
      <formula>#REF!="No"</formula>
    </cfRule>
  </conditionalFormatting>
  <conditionalFormatting sqref="AP27:AP28">
    <cfRule type="expression" dxfId="1" priority="21">
      <formula>#REF!="No"</formula>
    </cfRule>
  </conditionalFormatting>
  <conditionalFormatting sqref="AP27:AP28">
    <cfRule type="expression" dxfId="1" priority="22">
      <formula>#REF!="No"</formula>
    </cfRule>
  </conditionalFormatting>
  <conditionalFormatting sqref="AT27:AT28">
    <cfRule type="expression" dxfId="1" priority="23">
      <formula>#REF!="No"</formula>
    </cfRule>
  </conditionalFormatting>
  <conditionalFormatting sqref="AT27:AT28">
    <cfRule type="expression" dxfId="1" priority="24">
      <formula>#REF!="No"</formula>
    </cfRule>
  </conditionalFormatting>
  <conditionalFormatting sqref="AX27:AX28">
    <cfRule type="expression" dxfId="1" priority="25">
      <formula>#REF!="No"</formula>
    </cfRule>
  </conditionalFormatting>
  <conditionalFormatting sqref="AX27:AX28">
    <cfRule type="expression" dxfId="1" priority="26">
      <formula>#REF!="No"</formula>
    </cfRule>
  </conditionalFormatting>
  <conditionalFormatting sqref="BB27:BB28">
    <cfRule type="expression" dxfId="1" priority="27">
      <formula>#REF!="No"</formula>
    </cfRule>
  </conditionalFormatting>
  <conditionalFormatting sqref="BB27:BB28">
    <cfRule type="expression" dxfId="1" priority="28">
      <formula>#REF!="No"</formula>
    </cfRule>
  </conditionalFormatting>
  <conditionalFormatting sqref="BF27:BF28">
    <cfRule type="expression" dxfId="1" priority="29">
      <formula>#REF!="No"</formula>
    </cfRule>
  </conditionalFormatting>
  <conditionalFormatting sqref="BF27:BF28">
    <cfRule type="expression" dxfId="1" priority="30">
      <formula>#REF!="No"</formula>
    </cfRule>
  </conditionalFormatting>
  <conditionalFormatting sqref="BJ27:BJ28">
    <cfRule type="expression" dxfId="1" priority="31">
      <formula>#REF!="No"</formula>
    </cfRule>
  </conditionalFormatting>
  <conditionalFormatting sqref="BJ27:BJ28">
    <cfRule type="expression" dxfId="1" priority="32">
      <formula>#REF!="No"</formula>
    </cfRule>
  </conditionalFormatting>
  <conditionalFormatting sqref="BN27:BN28">
    <cfRule type="expression" dxfId="1" priority="33">
      <formula>#REF!="No"</formula>
    </cfRule>
  </conditionalFormatting>
  <conditionalFormatting sqref="BN27:BN28">
    <cfRule type="expression" dxfId="1" priority="34">
      <formula>#REF!="No"</formula>
    </cfRule>
  </conditionalFormatting>
  <conditionalFormatting sqref="BR27:BR28">
    <cfRule type="expression" dxfId="1" priority="35">
      <formula>#REF!="No"</formula>
    </cfRule>
  </conditionalFormatting>
  <conditionalFormatting sqref="BR27:BR28">
    <cfRule type="expression" dxfId="1" priority="36">
      <formula>#REF!="No"</formula>
    </cfRule>
  </conditionalFormatting>
  <conditionalFormatting sqref="BV27:BV28">
    <cfRule type="expression" dxfId="1" priority="37">
      <formula>#REF!="No"</formula>
    </cfRule>
  </conditionalFormatting>
  <conditionalFormatting sqref="BV27:BV28">
    <cfRule type="expression" dxfId="1" priority="38">
      <formula>#REF!="No"</formula>
    </cfRule>
  </conditionalFormatting>
  <hyperlinks>
    <hyperlink r:id="rId1" ref="G5"/>
    <hyperlink r:id="rId2" ref="K5"/>
    <hyperlink r:id="rId3" ref="O5"/>
    <hyperlink r:id="rId4" ref="S5"/>
    <hyperlink r:id="rId5" ref="W5"/>
    <hyperlink r:id="rId6" ref="AA5"/>
    <hyperlink r:id="rId7" ref="AE5"/>
    <hyperlink r:id="rId8" ref="AI5"/>
    <hyperlink r:id="rId9" ref="AM5"/>
    <hyperlink r:id="rId10" ref="AQ5"/>
    <hyperlink r:id="rId11" ref="AU5"/>
    <hyperlink r:id="rId12" ref="AY5"/>
    <hyperlink r:id="rId13" ref="BC5"/>
    <hyperlink r:id="rId14" ref="BG5"/>
    <hyperlink r:id="rId15" ref="BK5"/>
    <hyperlink r:id="rId16" ref="BO5"/>
    <hyperlink r:id="rId17" ref="BS5"/>
    <hyperlink r:id="rId18" ref="BW5"/>
    <hyperlink r:id="rId19" ref="G30"/>
    <hyperlink r:id="rId20" ref="K30"/>
    <hyperlink r:id="rId21" ref="O30"/>
    <hyperlink r:id="rId22" ref="S30"/>
    <hyperlink r:id="rId23" ref="W30"/>
    <hyperlink r:id="rId24" ref="AA30"/>
    <hyperlink r:id="rId25" ref="AE30"/>
    <hyperlink r:id="rId26" ref="AI30"/>
    <hyperlink r:id="rId27" ref="AM30"/>
    <hyperlink r:id="rId28" ref="AQ30"/>
    <hyperlink r:id="rId29" ref="AU30"/>
    <hyperlink r:id="rId30" ref="AY30"/>
    <hyperlink r:id="rId31" ref="BC30"/>
    <hyperlink r:id="rId32" ref="BG30"/>
    <hyperlink r:id="rId33" ref="BK30"/>
    <hyperlink r:id="rId34" ref="BO30"/>
    <hyperlink r:id="rId35" ref="BS30"/>
    <hyperlink r:id="rId36" ref="BW30"/>
  </hyperlinks>
  <printOptions/>
  <pageMargins bottom="0.75" footer="0.0" header="0.0" left="0.7" right="0.7" top="0.75"/>
  <pageSetup orientation="portrait"/>
  <drawing r:id="rId37"/>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7.71"/>
    <col customWidth="1" min="3" max="3" width="15.71"/>
    <col customWidth="1" min="4" max="5" width="8.71"/>
    <col customWidth="1" min="6" max="6" width="27.71"/>
    <col customWidth="1" min="7" max="7" width="15.71"/>
    <col customWidth="1" min="8" max="9" width="8.71"/>
    <col customWidth="1" min="10" max="10" width="27.71"/>
    <col customWidth="1" min="11" max="11" width="15.71"/>
    <col customWidth="1" min="12" max="13" width="8.71"/>
    <col customWidth="1" min="14" max="14" width="27.71"/>
    <col customWidth="1" min="15" max="15" width="15.71"/>
    <col customWidth="1" min="16" max="17" width="8.71"/>
    <col customWidth="1" min="18" max="18" width="27.71"/>
    <col customWidth="1" min="19" max="19" width="15.71"/>
    <col customWidth="1" min="20" max="21" width="8.71"/>
    <col customWidth="1" min="22" max="22" width="27.71"/>
    <col customWidth="1" min="23" max="23" width="15.71"/>
    <col customWidth="1" min="24" max="25" width="8.71"/>
    <col customWidth="1" min="26" max="26" width="27.71"/>
    <col customWidth="1" min="27" max="27" width="15.71"/>
    <col customWidth="1" min="28" max="29" width="8.71"/>
    <col customWidth="1" min="30" max="30" width="27.71"/>
    <col customWidth="1" min="31" max="31" width="15.71"/>
    <col customWidth="1" min="32" max="33" width="8.71"/>
    <col customWidth="1" min="34" max="34" width="27.71"/>
    <col customWidth="1" min="35" max="35" width="15.71"/>
    <col customWidth="1" min="36" max="37" width="8.71"/>
    <col customWidth="1" min="38" max="38" width="27.71"/>
    <col customWidth="1" min="39" max="39" width="15.71"/>
    <col customWidth="1" min="40" max="40" width="8.71"/>
  </cols>
  <sheetData>
    <row r="1" ht="12.0" customHeight="1"/>
    <row r="2" ht="12.0" customHeight="1"/>
    <row r="3" ht="12.0" customHeight="1"/>
    <row r="4" ht="12.0" customHeight="1">
      <c r="B4" s="11" t="s">
        <v>657</v>
      </c>
      <c r="C4" s="11">
        <v>1.0</v>
      </c>
      <c r="D4" s="11"/>
      <c r="F4" s="11" t="s">
        <v>658</v>
      </c>
      <c r="G4" s="11">
        <v>2.0</v>
      </c>
      <c r="H4" s="11"/>
      <c r="J4" s="11" t="s">
        <v>659</v>
      </c>
      <c r="K4" s="11">
        <v>3.0</v>
      </c>
      <c r="L4" s="11"/>
      <c r="N4" s="11" t="s">
        <v>660</v>
      </c>
      <c r="O4" s="11">
        <v>4.0</v>
      </c>
      <c r="P4" s="11"/>
      <c r="R4" s="11" t="s">
        <v>661</v>
      </c>
      <c r="S4" s="11">
        <v>5.0</v>
      </c>
      <c r="T4" s="11"/>
      <c r="V4" s="11" t="s">
        <v>662</v>
      </c>
      <c r="W4" s="11">
        <v>6.0</v>
      </c>
      <c r="X4" s="11"/>
      <c r="Z4" s="11" t="s">
        <v>663</v>
      </c>
      <c r="AA4" s="11">
        <v>7.0</v>
      </c>
      <c r="AB4" s="11"/>
      <c r="AD4" s="11" t="s">
        <v>664</v>
      </c>
      <c r="AE4" s="11">
        <v>8.0</v>
      </c>
      <c r="AF4" s="11"/>
      <c r="AH4" s="11" t="s">
        <v>665</v>
      </c>
      <c r="AI4" s="11">
        <v>9.0</v>
      </c>
      <c r="AJ4" s="11"/>
      <c r="AL4" s="11" t="s">
        <v>666</v>
      </c>
      <c r="AM4" s="11">
        <v>10.0</v>
      </c>
      <c r="AN4" s="11"/>
    </row>
    <row r="5" ht="12.0" customHeight="1">
      <c r="B5" s="11" t="s">
        <v>462</v>
      </c>
      <c r="C5" s="282" t="s">
        <v>667</v>
      </c>
      <c r="D5" s="11"/>
      <c r="F5" s="11" t="s">
        <v>462</v>
      </c>
      <c r="G5" s="282" t="s">
        <v>668</v>
      </c>
      <c r="H5" s="11"/>
      <c r="J5" s="11" t="s">
        <v>462</v>
      </c>
      <c r="K5" s="282" t="s">
        <v>669</v>
      </c>
      <c r="L5" s="11"/>
      <c r="N5" s="11" t="s">
        <v>462</v>
      </c>
      <c r="O5" s="282" t="s">
        <v>670</v>
      </c>
      <c r="P5" s="11"/>
      <c r="R5" s="11" t="s">
        <v>462</v>
      </c>
      <c r="S5" s="282" t="s">
        <v>671</v>
      </c>
      <c r="T5" s="11"/>
      <c r="V5" s="11" t="s">
        <v>462</v>
      </c>
      <c r="W5" s="282" t="s">
        <v>672</v>
      </c>
      <c r="X5" s="11"/>
      <c r="Z5" s="11" t="s">
        <v>462</v>
      </c>
      <c r="AA5" s="282" t="s">
        <v>673</v>
      </c>
      <c r="AB5" s="11"/>
      <c r="AD5" s="11" t="s">
        <v>462</v>
      </c>
      <c r="AE5" s="282" t="s">
        <v>674</v>
      </c>
      <c r="AF5" s="11"/>
      <c r="AH5" s="11" t="s">
        <v>462</v>
      </c>
      <c r="AI5" s="282" t="s">
        <v>675</v>
      </c>
      <c r="AJ5" s="11"/>
      <c r="AL5" s="11" t="s">
        <v>462</v>
      </c>
      <c r="AM5" s="282" t="s">
        <v>676</v>
      </c>
      <c r="AN5" s="11"/>
    </row>
    <row r="6" ht="12.0" customHeight="1">
      <c r="B6" s="11" t="s">
        <v>333</v>
      </c>
      <c r="C6" s="11">
        <v>175.0</v>
      </c>
      <c r="D6" s="11" t="s">
        <v>677</v>
      </c>
      <c r="F6" s="11" t="s">
        <v>333</v>
      </c>
      <c r="G6" s="11">
        <v>175.0</v>
      </c>
      <c r="H6" s="11" t="s">
        <v>678</v>
      </c>
      <c r="J6" s="11" t="s">
        <v>333</v>
      </c>
      <c r="K6" s="11">
        <v>150.0</v>
      </c>
      <c r="L6" s="11" t="s">
        <v>679</v>
      </c>
      <c r="N6" s="11" t="s">
        <v>333</v>
      </c>
      <c r="O6" s="11">
        <v>175.0</v>
      </c>
      <c r="P6" s="11" t="s">
        <v>680</v>
      </c>
      <c r="R6" s="11" t="s">
        <v>333</v>
      </c>
      <c r="S6" s="11">
        <v>150.0</v>
      </c>
      <c r="T6" s="11" t="s">
        <v>681</v>
      </c>
      <c r="V6" s="11" t="s">
        <v>333</v>
      </c>
      <c r="W6" s="11">
        <v>150.0</v>
      </c>
      <c r="X6" s="11" t="s">
        <v>682</v>
      </c>
      <c r="Z6" s="11" t="s">
        <v>333</v>
      </c>
      <c r="AA6" s="11">
        <v>150.0</v>
      </c>
      <c r="AB6" s="11" t="s">
        <v>683</v>
      </c>
      <c r="AD6" s="11" t="s">
        <v>333</v>
      </c>
      <c r="AE6" s="11">
        <v>150.0</v>
      </c>
      <c r="AF6" s="11" t="s">
        <v>684</v>
      </c>
      <c r="AH6" s="11" t="s">
        <v>333</v>
      </c>
      <c r="AI6" s="11">
        <v>150.0</v>
      </c>
      <c r="AJ6" s="11" t="s">
        <v>685</v>
      </c>
      <c r="AL6" s="11" t="s">
        <v>333</v>
      </c>
      <c r="AM6" s="11">
        <v>150.0</v>
      </c>
      <c r="AN6" s="11" t="s">
        <v>686</v>
      </c>
    </row>
    <row r="7" ht="12.0" customHeight="1">
      <c r="B7" s="11" t="s">
        <v>501</v>
      </c>
      <c r="C7" s="11">
        <v>2.4</v>
      </c>
      <c r="D7" s="11" t="s">
        <v>687</v>
      </c>
      <c r="F7" s="11" t="s">
        <v>501</v>
      </c>
      <c r="G7" s="11">
        <v>3.4</v>
      </c>
      <c r="H7" s="11" t="s">
        <v>688</v>
      </c>
      <c r="J7" s="11" t="s">
        <v>501</v>
      </c>
      <c r="K7" s="11">
        <v>4.9</v>
      </c>
      <c r="L7" s="11" t="s">
        <v>689</v>
      </c>
      <c r="N7" s="11" t="s">
        <v>501</v>
      </c>
      <c r="O7" s="11">
        <v>5.6</v>
      </c>
      <c r="P7" s="11" t="s">
        <v>690</v>
      </c>
      <c r="R7" s="11" t="s">
        <v>501</v>
      </c>
      <c r="S7" s="11">
        <v>6.4</v>
      </c>
      <c r="T7" s="11" t="s">
        <v>691</v>
      </c>
      <c r="V7" s="11" t="s">
        <v>501</v>
      </c>
      <c r="W7" s="11">
        <v>9.4</v>
      </c>
      <c r="X7" s="11" t="s">
        <v>692</v>
      </c>
      <c r="Z7" s="11" t="s">
        <v>501</v>
      </c>
      <c r="AA7" s="11">
        <v>14.5</v>
      </c>
      <c r="AB7" s="11" t="s">
        <v>693</v>
      </c>
      <c r="AD7" s="11" t="s">
        <v>501</v>
      </c>
      <c r="AE7" s="11">
        <v>15.1</v>
      </c>
      <c r="AF7" s="11" t="s">
        <v>694</v>
      </c>
      <c r="AH7" s="11" t="s">
        <v>501</v>
      </c>
      <c r="AI7" s="11">
        <v>59.0</v>
      </c>
      <c r="AJ7" s="11" t="s">
        <v>695</v>
      </c>
      <c r="AL7" s="11" t="s">
        <v>501</v>
      </c>
      <c r="AM7" s="11">
        <v>59.0</v>
      </c>
      <c r="AN7" s="11" t="s">
        <v>696</v>
      </c>
    </row>
    <row r="8" ht="12.0" customHeight="1">
      <c r="B8" s="11"/>
      <c r="C8" s="11"/>
      <c r="D8" s="11"/>
      <c r="F8" s="11"/>
      <c r="G8" s="11"/>
      <c r="H8" s="11"/>
      <c r="J8" s="11"/>
      <c r="K8" s="11"/>
      <c r="L8" s="11"/>
      <c r="N8" s="11"/>
      <c r="O8" s="11"/>
      <c r="P8" s="11"/>
      <c r="R8" s="11"/>
      <c r="S8" s="11"/>
      <c r="T8" s="11"/>
      <c r="V8" s="11"/>
      <c r="W8" s="11"/>
      <c r="X8" s="11"/>
      <c r="Z8" s="11"/>
      <c r="AA8" s="11"/>
      <c r="AB8" s="11"/>
      <c r="AD8" s="11"/>
      <c r="AE8" s="11"/>
      <c r="AF8" s="11"/>
      <c r="AH8" s="11"/>
      <c r="AI8" s="11"/>
      <c r="AJ8" s="11"/>
      <c r="AL8" s="11"/>
      <c r="AM8" s="11"/>
      <c r="AN8" s="11"/>
    </row>
    <row r="9" ht="12.0" customHeight="1">
      <c r="B9" s="11" t="s">
        <v>521</v>
      </c>
      <c r="C9" s="11"/>
      <c r="D9" s="11"/>
      <c r="F9" s="11" t="s">
        <v>521</v>
      </c>
      <c r="G9" s="11"/>
      <c r="H9" s="11"/>
      <c r="J9" s="11" t="s">
        <v>521</v>
      </c>
      <c r="K9" s="11"/>
      <c r="L9" s="11"/>
      <c r="N9" s="11" t="s">
        <v>521</v>
      </c>
      <c r="O9" s="11"/>
      <c r="P9" s="11"/>
      <c r="R9" s="11" t="s">
        <v>521</v>
      </c>
      <c r="S9" s="11"/>
      <c r="T9" s="11"/>
      <c r="V9" s="11" t="s">
        <v>521</v>
      </c>
      <c r="W9" s="11"/>
      <c r="X9" s="11"/>
      <c r="Z9" s="11" t="s">
        <v>521</v>
      </c>
      <c r="AA9" s="11"/>
      <c r="AB9" s="11"/>
      <c r="AD9" s="11" t="s">
        <v>521</v>
      </c>
      <c r="AE9" s="11"/>
      <c r="AF9" s="11"/>
      <c r="AH9" s="11" t="s">
        <v>521</v>
      </c>
      <c r="AI9" s="11"/>
      <c r="AJ9" s="11"/>
      <c r="AL9" s="11" t="s">
        <v>521</v>
      </c>
      <c r="AM9" s="11"/>
      <c r="AN9" s="11"/>
    </row>
    <row r="10" ht="12.0" customHeight="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row>
    <row r="11" ht="12.0" customHeight="1">
      <c r="B11" s="11">
        <v>70.0</v>
      </c>
      <c r="C11" s="11">
        <v>1.25</v>
      </c>
      <c r="D11" s="11"/>
      <c r="F11" s="11">
        <v>70.0</v>
      </c>
      <c r="G11" s="11">
        <v>1.33</v>
      </c>
      <c r="H11" s="11"/>
      <c r="J11" s="11">
        <v>70.0</v>
      </c>
      <c r="K11" s="11">
        <v>1.33</v>
      </c>
      <c r="L11" s="11"/>
      <c r="N11" s="11">
        <v>70.0</v>
      </c>
      <c r="O11" s="11">
        <v>1.33</v>
      </c>
      <c r="P11" s="11"/>
      <c r="R11" s="11">
        <v>70.0</v>
      </c>
      <c r="S11" s="11">
        <v>1.31</v>
      </c>
      <c r="T11" s="11"/>
      <c r="V11" s="11">
        <v>70.0</v>
      </c>
      <c r="W11" s="11">
        <v>1.34</v>
      </c>
      <c r="X11" s="11"/>
      <c r="Z11" s="11">
        <v>70.0</v>
      </c>
      <c r="AA11" s="11">
        <v>1.34</v>
      </c>
      <c r="AB11" s="11"/>
      <c r="AD11" s="11">
        <v>70.0</v>
      </c>
      <c r="AE11" s="11">
        <v>1.3</v>
      </c>
      <c r="AF11" s="11"/>
      <c r="AH11" s="11">
        <v>70.0</v>
      </c>
      <c r="AI11" s="11">
        <v>1.32</v>
      </c>
      <c r="AJ11" s="11"/>
      <c r="AL11" s="11">
        <v>70.0</v>
      </c>
      <c r="AM11" s="11">
        <v>1.28</v>
      </c>
      <c r="AN11" s="11"/>
    </row>
    <row r="12" ht="12.0" customHeight="1">
      <c r="B12" s="11">
        <v>75.0</v>
      </c>
      <c r="C12" s="11">
        <v>1.28</v>
      </c>
      <c r="D12" s="11"/>
      <c r="F12" s="11">
        <v>75.0</v>
      </c>
      <c r="G12" s="11">
        <v>1.37</v>
      </c>
      <c r="H12" s="11"/>
      <c r="J12" s="11">
        <v>75.0</v>
      </c>
      <c r="K12" s="11">
        <v>1.37</v>
      </c>
      <c r="L12" s="11"/>
      <c r="N12" s="11">
        <v>75.0</v>
      </c>
      <c r="O12" s="11">
        <v>1.37</v>
      </c>
      <c r="P12" s="11"/>
      <c r="R12" s="11">
        <v>75.0</v>
      </c>
      <c r="S12" s="11">
        <v>1.35</v>
      </c>
      <c r="T12" s="11"/>
      <c r="V12" s="11">
        <v>75.0</v>
      </c>
      <c r="W12" s="11">
        <v>1.38</v>
      </c>
      <c r="X12" s="11"/>
      <c r="Z12" s="11">
        <v>75.0</v>
      </c>
      <c r="AA12" s="11">
        <v>1.38</v>
      </c>
      <c r="AB12" s="11"/>
      <c r="AD12" s="11">
        <v>75.0</v>
      </c>
      <c r="AE12" s="11">
        <v>1.34</v>
      </c>
      <c r="AF12" s="11"/>
      <c r="AH12" s="11">
        <v>75.0</v>
      </c>
      <c r="AI12" s="11">
        <v>1.36</v>
      </c>
      <c r="AJ12" s="11"/>
      <c r="AL12" s="11">
        <v>75.0</v>
      </c>
      <c r="AM12" s="11">
        <v>1.32</v>
      </c>
      <c r="AN12" s="11"/>
    </row>
    <row r="13" ht="12.0" customHeight="1">
      <c r="B13" s="11">
        <v>80.0</v>
      </c>
      <c r="C13" s="11">
        <v>1.31</v>
      </c>
      <c r="D13" s="11"/>
      <c r="F13" s="11">
        <v>80.0</v>
      </c>
      <c r="G13" s="11">
        <v>1.41</v>
      </c>
      <c r="H13" s="11"/>
      <c r="J13" s="11">
        <v>80.0</v>
      </c>
      <c r="K13" s="11">
        <v>1.41</v>
      </c>
      <c r="L13" s="11"/>
      <c r="N13" s="11">
        <v>80.0</v>
      </c>
      <c r="O13" s="11">
        <v>1.42</v>
      </c>
      <c r="P13" s="11"/>
      <c r="R13" s="11">
        <v>80.0</v>
      </c>
      <c r="S13" s="11">
        <v>1.39</v>
      </c>
      <c r="T13" s="11"/>
      <c r="V13" s="11">
        <v>80.0</v>
      </c>
      <c r="W13" s="11">
        <v>1.42</v>
      </c>
      <c r="X13" s="11"/>
      <c r="Z13" s="11">
        <v>80.0</v>
      </c>
      <c r="AA13" s="11">
        <v>1.43</v>
      </c>
      <c r="AB13" s="11"/>
      <c r="AD13" s="11">
        <v>80.0</v>
      </c>
      <c r="AE13" s="11">
        <v>1.38</v>
      </c>
      <c r="AF13" s="11"/>
      <c r="AH13" s="11">
        <v>80.0</v>
      </c>
      <c r="AI13" s="11">
        <v>1.4</v>
      </c>
      <c r="AJ13" s="11"/>
      <c r="AL13" s="11">
        <v>80.0</v>
      </c>
      <c r="AM13" s="11">
        <v>1.35</v>
      </c>
      <c r="AN13" s="11"/>
    </row>
    <row r="14" ht="12.0" customHeight="1">
      <c r="B14" s="11">
        <v>85.0</v>
      </c>
      <c r="C14" s="11">
        <v>1.35</v>
      </c>
      <c r="D14" s="11"/>
      <c r="F14" s="11">
        <v>85.0</v>
      </c>
      <c r="G14" s="11">
        <v>1.45</v>
      </c>
      <c r="H14" s="11"/>
      <c r="J14" s="11">
        <v>85.0</v>
      </c>
      <c r="K14" s="11">
        <v>1.46</v>
      </c>
      <c r="L14" s="11"/>
      <c r="N14" s="11">
        <v>85.0</v>
      </c>
      <c r="O14" s="11">
        <v>1.46</v>
      </c>
      <c r="P14" s="11"/>
      <c r="R14" s="11">
        <v>85.0</v>
      </c>
      <c r="S14" s="11">
        <v>1.43</v>
      </c>
      <c r="T14" s="11"/>
      <c r="V14" s="11">
        <v>85.0</v>
      </c>
      <c r="W14" s="11">
        <v>1.46</v>
      </c>
      <c r="X14" s="11"/>
      <c r="Z14" s="11">
        <v>85.0</v>
      </c>
      <c r="AA14" s="11">
        <v>1.47</v>
      </c>
      <c r="AB14" s="11"/>
      <c r="AD14" s="11">
        <v>85.0</v>
      </c>
      <c r="AE14" s="11">
        <v>1.41</v>
      </c>
      <c r="AF14" s="11"/>
      <c r="AH14" s="11">
        <v>85.0</v>
      </c>
      <c r="AI14" s="11">
        <v>1.45</v>
      </c>
      <c r="AJ14" s="11"/>
      <c r="AL14" s="11">
        <v>85.0</v>
      </c>
      <c r="AM14" s="11">
        <v>1.39</v>
      </c>
      <c r="AN14" s="11"/>
    </row>
    <row r="15" ht="12.0" customHeight="1">
      <c r="B15" s="11">
        <v>90.0</v>
      </c>
      <c r="C15" s="11">
        <v>1.38</v>
      </c>
      <c r="D15" s="11"/>
      <c r="F15" s="11">
        <v>90.0</v>
      </c>
      <c r="G15" s="11">
        <v>1.49</v>
      </c>
      <c r="H15" s="11"/>
      <c r="J15" s="11">
        <v>90.0</v>
      </c>
      <c r="K15" s="11">
        <v>1.5</v>
      </c>
      <c r="L15" s="11"/>
      <c r="N15" s="11">
        <v>90.0</v>
      </c>
      <c r="O15" s="11">
        <v>1.51</v>
      </c>
      <c r="P15" s="11"/>
      <c r="R15" s="11">
        <v>90.0</v>
      </c>
      <c r="S15" s="11">
        <v>1.47</v>
      </c>
      <c r="T15" s="11"/>
      <c r="V15" s="11">
        <v>90.0</v>
      </c>
      <c r="W15" s="11">
        <v>1.51</v>
      </c>
      <c r="X15" s="11"/>
      <c r="Z15" s="11">
        <v>90.0</v>
      </c>
      <c r="AA15" s="11">
        <v>1.52</v>
      </c>
      <c r="AB15" s="11"/>
      <c r="AD15" s="11">
        <v>90.0</v>
      </c>
      <c r="AE15" s="11">
        <v>1.45</v>
      </c>
      <c r="AF15" s="11"/>
      <c r="AH15" s="11">
        <v>90.0</v>
      </c>
      <c r="AI15" s="11">
        <v>1.49</v>
      </c>
      <c r="AJ15" s="11"/>
      <c r="AL15" s="11">
        <v>90.0</v>
      </c>
      <c r="AM15" s="11">
        <v>1.42</v>
      </c>
      <c r="AN15" s="11"/>
    </row>
    <row r="16" ht="12.0" customHeight="1">
      <c r="B16" s="11">
        <v>95.0</v>
      </c>
      <c r="C16" s="11">
        <v>1.41</v>
      </c>
      <c r="D16" s="11"/>
      <c r="F16" s="11">
        <v>95.0</v>
      </c>
      <c r="G16" s="11">
        <v>1.54</v>
      </c>
      <c r="H16" s="11"/>
      <c r="J16" s="11">
        <v>95.0</v>
      </c>
      <c r="K16" s="11">
        <v>1.55</v>
      </c>
      <c r="L16" s="11"/>
      <c r="N16" s="11">
        <v>95.0</v>
      </c>
      <c r="O16" s="11">
        <v>1.55</v>
      </c>
      <c r="P16" s="11"/>
      <c r="R16" s="11">
        <v>95.0</v>
      </c>
      <c r="S16" s="11">
        <v>1.52</v>
      </c>
      <c r="T16" s="11"/>
      <c r="V16" s="11">
        <v>95.0</v>
      </c>
      <c r="W16" s="11">
        <v>1.56</v>
      </c>
      <c r="X16" s="11"/>
      <c r="Z16" s="11">
        <v>95.0</v>
      </c>
      <c r="AA16" s="11">
        <v>1.56</v>
      </c>
      <c r="AB16" s="11"/>
      <c r="AD16" s="11">
        <v>95.0</v>
      </c>
      <c r="AE16" s="11">
        <v>1.49</v>
      </c>
      <c r="AF16" s="11"/>
      <c r="AH16" s="11">
        <v>95.0</v>
      </c>
      <c r="AI16" s="11">
        <v>1.53</v>
      </c>
      <c r="AJ16" s="11"/>
      <c r="AL16" s="11">
        <v>95.0</v>
      </c>
      <c r="AM16" s="11">
        <v>1.46</v>
      </c>
      <c r="AN16" s="11"/>
    </row>
    <row r="17" ht="12.0" customHeight="1">
      <c r="B17" s="11">
        <v>100.0</v>
      </c>
      <c r="C17" s="11">
        <v>1.44</v>
      </c>
      <c r="D17" s="11"/>
      <c r="F17" s="11">
        <v>100.0</v>
      </c>
      <c r="G17" s="11">
        <v>1.58</v>
      </c>
      <c r="H17" s="11"/>
      <c r="J17" s="11">
        <v>100.0</v>
      </c>
      <c r="K17" s="11">
        <v>1.59</v>
      </c>
      <c r="L17" s="11"/>
      <c r="N17" s="11">
        <v>100.0</v>
      </c>
      <c r="O17" s="11">
        <v>1.6</v>
      </c>
      <c r="P17" s="11"/>
      <c r="R17" s="11">
        <v>100.0</v>
      </c>
      <c r="S17" s="11">
        <v>1.56</v>
      </c>
      <c r="T17" s="11"/>
      <c r="V17" s="11">
        <v>100.0</v>
      </c>
      <c r="W17" s="11">
        <v>1.6</v>
      </c>
      <c r="X17" s="11"/>
      <c r="Z17" s="11">
        <v>100.0</v>
      </c>
      <c r="AA17" s="11">
        <v>1.61</v>
      </c>
      <c r="AB17" s="11"/>
      <c r="AD17" s="11">
        <v>100.0</v>
      </c>
      <c r="AE17" s="11">
        <v>1.53</v>
      </c>
      <c r="AF17" s="11"/>
      <c r="AH17" s="11">
        <v>100.0</v>
      </c>
      <c r="AI17" s="11">
        <v>1.58</v>
      </c>
      <c r="AJ17" s="11"/>
      <c r="AL17" s="11">
        <v>100.0</v>
      </c>
      <c r="AM17" s="11">
        <v>1.5</v>
      </c>
      <c r="AN17" s="11"/>
    </row>
    <row r="18" ht="12.0" customHeight="1">
      <c r="B18" s="11">
        <v>105.0</v>
      </c>
      <c r="C18" s="11">
        <v>1.48</v>
      </c>
      <c r="D18" s="11"/>
      <c r="F18" s="11">
        <v>105.0</v>
      </c>
      <c r="G18" s="11">
        <v>1.63</v>
      </c>
      <c r="H18" s="11"/>
      <c r="J18" s="11">
        <v>105.0</v>
      </c>
      <c r="K18" s="11">
        <v>1.64</v>
      </c>
      <c r="L18" s="11"/>
      <c r="N18" s="11">
        <v>105.0</v>
      </c>
      <c r="O18" s="11">
        <v>1.64</v>
      </c>
      <c r="P18" s="11"/>
      <c r="R18" s="11">
        <v>105.0</v>
      </c>
      <c r="S18" s="11">
        <v>1.61</v>
      </c>
      <c r="T18" s="11"/>
      <c r="V18" s="11">
        <v>105.0</v>
      </c>
      <c r="W18" s="11">
        <v>1.65</v>
      </c>
      <c r="X18" s="11"/>
      <c r="Z18" s="11">
        <v>105.0</v>
      </c>
      <c r="AA18" s="11">
        <v>1.66</v>
      </c>
      <c r="AB18" s="11"/>
      <c r="AD18" s="11">
        <v>105.0</v>
      </c>
      <c r="AE18" s="11">
        <v>1.57</v>
      </c>
      <c r="AF18" s="11"/>
      <c r="AH18" s="11">
        <v>105.0</v>
      </c>
      <c r="AI18" s="11">
        <v>1.63</v>
      </c>
      <c r="AJ18" s="11"/>
      <c r="AL18" s="11">
        <v>105.0</v>
      </c>
      <c r="AM18" s="11">
        <v>1.53</v>
      </c>
      <c r="AN18" s="11"/>
    </row>
    <row r="19" ht="12.0" customHeight="1">
      <c r="B19" s="11">
        <v>110.0</v>
      </c>
      <c r="C19" s="11">
        <v>1.51</v>
      </c>
      <c r="D19" s="11"/>
      <c r="F19" s="11">
        <v>110.0</v>
      </c>
      <c r="G19" s="11">
        <v>1.68</v>
      </c>
      <c r="H19" s="11"/>
      <c r="J19" s="11">
        <v>110.0</v>
      </c>
      <c r="K19" s="11">
        <v>1.69</v>
      </c>
      <c r="L19" s="11"/>
      <c r="N19" s="11">
        <v>110.0</v>
      </c>
      <c r="O19" s="11">
        <v>1.69</v>
      </c>
      <c r="P19" s="11"/>
      <c r="R19" s="11">
        <v>110.0</v>
      </c>
      <c r="S19" s="11">
        <v>1.65</v>
      </c>
      <c r="T19" s="11"/>
      <c r="V19" s="11">
        <v>110.0</v>
      </c>
      <c r="W19" s="11">
        <v>1.7</v>
      </c>
      <c r="X19" s="11"/>
      <c r="Z19" s="11">
        <v>110.0</v>
      </c>
      <c r="AA19" s="11">
        <v>1.71</v>
      </c>
      <c r="AB19" s="11"/>
      <c r="AD19" s="11">
        <v>110.0</v>
      </c>
      <c r="AE19" s="11">
        <v>1.6</v>
      </c>
      <c r="AF19" s="11"/>
      <c r="AH19" s="11">
        <v>110.0</v>
      </c>
      <c r="AI19" s="11">
        <v>1.67</v>
      </c>
      <c r="AJ19" s="11"/>
      <c r="AL19" s="11">
        <v>110.0</v>
      </c>
      <c r="AM19" s="11">
        <v>1.57</v>
      </c>
      <c r="AN19" s="11"/>
    </row>
    <row r="20" ht="12.0" customHeight="1">
      <c r="B20" s="11">
        <v>115.0</v>
      </c>
      <c r="C20" s="11">
        <v>1.55</v>
      </c>
      <c r="D20" s="11"/>
      <c r="F20" s="11">
        <v>115.0</v>
      </c>
      <c r="G20" s="11">
        <v>1.73</v>
      </c>
      <c r="H20" s="11"/>
      <c r="J20" s="11">
        <v>115.0</v>
      </c>
      <c r="K20" s="11">
        <v>1.74</v>
      </c>
      <c r="L20" s="11"/>
      <c r="N20" s="11">
        <v>115.0</v>
      </c>
      <c r="O20" s="11">
        <v>1.74</v>
      </c>
      <c r="P20" s="11"/>
      <c r="R20" s="11">
        <v>115.0</v>
      </c>
      <c r="S20" s="11">
        <v>1.7</v>
      </c>
      <c r="T20" s="11"/>
      <c r="V20" s="11">
        <v>115.0</v>
      </c>
      <c r="W20" s="11">
        <v>1.75</v>
      </c>
      <c r="X20" s="11"/>
      <c r="Z20" s="11">
        <v>115.0</v>
      </c>
      <c r="AA20" s="11">
        <v>1.76</v>
      </c>
      <c r="AB20" s="11"/>
      <c r="AD20" s="11">
        <v>115.0</v>
      </c>
      <c r="AE20" s="11">
        <v>1.64</v>
      </c>
      <c r="AF20" s="11"/>
      <c r="AH20" s="11">
        <v>115.0</v>
      </c>
      <c r="AI20" s="11">
        <v>1.72</v>
      </c>
      <c r="AJ20" s="11"/>
      <c r="AL20" s="11">
        <v>115.0</v>
      </c>
      <c r="AM20" s="11">
        <v>1.61</v>
      </c>
      <c r="AN20" s="11"/>
    </row>
    <row r="21" ht="12.0" customHeight="1">
      <c r="B21" s="11">
        <v>120.0</v>
      </c>
      <c r="C21" s="11">
        <v>1.58</v>
      </c>
      <c r="D21" s="11"/>
      <c r="F21" s="11">
        <v>120.0</v>
      </c>
      <c r="G21" s="11">
        <v>1.78</v>
      </c>
      <c r="H21" s="11"/>
      <c r="J21" s="11">
        <v>120.0</v>
      </c>
      <c r="K21" s="11">
        <v>1.79</v>
      </c>
      <c r="L21" s="11"/>
      <c r="N21" s="11">
        <v>120.0</v>
      </c>
      <c r="O21" s="11">
        <v>1.79</v>
      </c>
      <c r="P21" s="11"/>
      <c r="R21" s="11">
        <v>120.0</v>
      </c>
      <c r="S21" s="11">
        <v>1.75</v>
      </c>
      <c r="T21" s="11"/>
      <c r="V21" s="11">
        <v>120.0</v>
      </c>
      <c r="W21" s="11">
        <v>1.8</v>
      </c>
      <c r="X21" s="11"/>
      <c r="Z21" s="11">
        <v>120.0</v>
      </c>
      <c r="AA21" s="11">
        <v>1.81</v>
      </c>
      <c r="AB21" s="11"/>
      <c r="AD21" s="11">
        <v>120.0</v>
      </c>
      <c r="AE21" s="11">
        <v>1.68</v>
      </c>
      <c r="AF21" s="11"/>
      <c r="AH21" s="11">
        <v>120.0</v>
      </c>
      <c r="AI21" s="11">
        <v>1.77</v>
      </c>
      <c r="AJ21" s="11"/>
      <c r="AL21" s="11">
        <v>120.0</v>
      </c>
      <c r="AM21" s="11">
        <v>1.65</v>
      </c>
      <c r="AN21" s="11"/>
    </row>
    <row r="22" ht="12.0" customHeight="1">
      <c r="B22" s="11">
        <v>125.0</v>
      </c>
      <c r="C22" s="11">
        <v>1.62</v>
      </c>
      <c r="D22" s="11"/>
      <c r="F22" s="11">
        <v>125.0</v>
      </c>
      <c r="G22" s="11">
        <v>1.83</v>
      </c>
      <c r="H22" s="11"/>
      <c r="J22" s="11">
        <v>125.0</v>
      </c>
      <c r="K22" s="11">
        <v>1.84</v>
      </c>
      <c r="L22" s="11"/>
      <c r="N22" s="11">
        <v>125.0</v>
      </c>
      <c r="O22" s="11">
        <v>1.84</v>
      </c>
      <c r="P22" s="11"/>
      <c r="R22" s="11">
        <v>125.0</v>
      </c>
      <c r="S22" s="11">
        <v>1.8</v>
      </c>
      <c r="T22" s="11"/>
      <c r="V22" s="11">
        <v>125.0</v>
      </c>
      <c r="W22" s="11">
        <v>1.85</v>
      </c>
      <c r="X22" s="11"/>
      <c r="Z22" s="11">
        <v>125.0</v>
      </c>
      <c r="AA22" s="11">
        <v>1.86</v>
      </c>
      <c r="AB22" s="11"/>
      <c r="AD22" s="11">
        <v>125.0</v>
      </c>
      <c r="AE22" s="11">
        <v>1.73</v>
      </c>
      <c r="AF22" s="11"/>
      <c r="AH22" s="11">
        <v>125.0</v>
      </c>
      <c r="AI22" s="11">
        <v>1.82</v>
      </c>
      <c r="AJ22" s="11"/>
      <c r="AL22" s="11">
        <v>125.0</v>
      </c>
      <c r="AM22" s="11">
        <v>1.69</v>
      </c>
      <c r="AN22" s="11"/>
    </row>
    <row r="23" ht="12.0" customHeight="1">
      <c r="B23" s="11">
        <v>130.0</v>
      </c>
      <c r="C23" s="11">
        <v>1.65</v>
      </c>
      <c r="D23" s="11"/>
      <c r="F23" s="11">
        <v>130.0</v>
      </c>
      <c r="G23" s="11">
        <v>1.88</v>
      </c>
      <c r="H23" s="11"/>
      <c r="J23" s="11">
        <v>130.0</v>
      </c>
      <c r="K23" s="11">
        <v>1.89</v>
      </c>
      <c r="L23" s="11"/>
      <c r="N23" s="11">
        <v>130.0</v>
      </c>
      <c r="O23" s="11">
        <v>1.9</v>
      </c>
      <c r="P23" s="11"/>
      <c r="R23" s="11">
        <v>130.0</v>
      </c>
      <c r="S23" s="11">
        <v>1.85</v>
      </c>
      <c r="T23" s="11"/>
      <c r="V23" s="11">
        <v>130.0</v>
      </c>
      <c r="W23" s="11">
        <v>1.91</v>
      </c>
      <c r="X23" s="11"/>
      <c r="Z23" s="11">
        <v>130.0</v>
      </c>
      <c r="AA23" s="11">
        <v>1.91</v>
      </c>
      <c r="AB23" s="11"/>
      <c r="AD23" s="11">
        <v>130.0</v>
      </c>
      <c r="AE23" s="11">
        <v>1.77</v>
      </c>
      <c r="AF23" s="11"/>
      <c r="AH23" s="11">
        <v>130.0</v>
      </c>
      <c r="AI23" s="11">
        <v>1.87</v>
      </c>
      <c r="AJ23" s="11"/>
      <c r="AL23" s="11">
        <v>130.0</v>
      </c>
      <c r="AM23" s="11">
        <v>1.73</v>
      </c>
      <c r="AN23" s="11"/>
    </row>
    <row r="24" ht="12.0" customHeight="1">
      <c r="B24" s="11"/>
      <c r="C24" s="11"/>
      <c r="D24" s="11"/>
      <c r="F24" s="11"/>
      <c r="G24" s="11"/>
      <c r="H24" s="11"/>
      <c r="J24" s="11"/>
      <c r="K24" s="11"/>
      <c r="L24" s="11"/>
      <c r="N24" s="11"/>
      <c r="O24" s="11"/>
      <c r="P24" s="11"/>
      <c r="R24" s="11"/>
      <c r="S24" s="11"/>
      <c r="T24" s="11"/>
      <c r="V24" s="11"/>
      <c r="W24" s="11"/>
      <c r="X24" s="11"/>
      <c r="Z24" s="11"/>
      <c r="AA24" s="11"/>
      <c r="AB24" s="11"/>
      <c r="AD24" s="11"/>
      <c r="AE24" s="11"/>
      <c r="AF24" s="11"/>
      <c r="AH24" s="11"/>
      <c r="AI24" s="11"/>
      <c r="AJ24" s="11"/>
      <c r="AL24" s="11"/>
      <c r="AM24" s="11"/>
      <c r="AN24" s="11"/>
    </row>
    <row r="25" ht="12.0" customHeight="1">
      <c r="B25" s="11" t="s">
        <v>522</v>
      </c>
      <c r="C25" s="11">
        <f>IOUTMAX</f>
        <v>8</v>
      </c>
      <c r="D25" s="11" t="s">
        <v>58</v>
      </c>
      <c r="F25" s="11" t="s">
        <v>522</v>
      </c>
      <c r="G25" s="11">
        <f>IOUTMAX</f>
        <v>8</v>
      </c>
      <c r="H25" s="11" t="s">
        <v>58</v>
      </c>
      <c r="J25" s="11" t="s">
        <v>522</v>
      </c>
      <c r="K25" s="11">
        <f>IOUTMAX</f>
        <v>8</v>
      </c>
      <c r="L25" s="11" t="s">
        <v>58</v>
      </c>
      <c r="N25" s="11" t="s">
        <v>522</v>
      </c>
      <c r="O25" s="11">
        <f>IOUTMAX</f>
        <v>8</v>
      </c>
      <c r="P25" s="11" t="s">
        <v>58</v>
      </c>
      <c r="R25" s="11" t="s">
        <v>522</v>
      </c>
      <c r="S25" s="11">
        <f>IOUTMAX</f>
        <v>8</v>
      </c>
      <c r="T25" s="11" t="s">
        <v>58</v>
      </c>
      <c r="V25" s="11" t="s">
        <v>522</v>
      </c>
      <c r="W25" s="11">
        <f>IOUTMAX</f>
        <v>8</v>
      </c>
      <c r="X25" s="11" t="s">
        <v>58</v>
      </c>
      <c r="Z25" s="11" t="s">
        <v>522</v>
      </c>
      <c r="AA25" s="11">
        <f>IOUTMAX</f>
        <v>8</v>
      </c>
      <c r="AB25" s="11" t="s">
        <v>58</v>
      </c>
      <c r="AD25" s="11" t="s">
        <v>522</v>
      </c>
      <c r="AE25" s="11">
        <f>IOUTMAX</f>
        <v>8</v>
      </c>
      <c r="AF25" s="11" t="s">
        <v>58</v>
      </c>
      <c r="AH25" s="11" t="s">
        <v>522</v>
      </c>
      <c r="AI25" s="11">
        <f>IOUTMAX</f>
        <v>8</v>
      </c>
      <c r="AJ25" s="11" t="s">
        <v>58</v>
      </c>
      <c r="AL25" s="11" t="s">
        <v>522</v>
      </c>
      <c r="AM25" s="11">
        <f>IOUTMAX</f>
        <v>8</v>
      </c>
      <c r="AN25" s="11" t="s">
        <v>58</v>
      </c>
    </row>
    <row r="26" ht="12.0" customHeight="1">
      <c r="B26" s="11" t="s">
        <v>523</v>
      </c>
      <c r="C26" s="11">
        <f>TAMB</f>
        <v>85</v>
      </c>
      <c r="D26" s="11" t="s">
        <v>697</v>
      </c>
      <c r="F26" s="11" t="s">
        <v>523</v>
      </c>
      <c r="G26" s="11">
        <f>TAMB</f>
        <v>85</v>
      </c>
      <c r="H26" s="11" t="s">
        <v>698</v>
      </c>
      <c r="J26" s="11" t="s">
        <v>523</v>
      </c>
      <c r="K26" s="11">
        <f>TAMB</f>
        <v>85</v>
      </c>
      <c r="L26" s="11" t="s">
        <v>699</v>
      </c>
      <c r="N26" s="11" t="s">
        <v>523</v>
      </c>
      <c r="O26" s="11">
        <f>TAMB</f>
        <v>85</v>
      </c>
      <c r="P26" s="11" t="s">
        <v>700</v>
      </c>
      <c r="R26" s="11" t="s">
        <v>523</v>
      </c>
      <c r="S26" s="11">
        <f>TAMB</f>
        <v>85</v>
      </c>
      <c r="T26" s="11" t="s">
        <v>701</v>
      </c>
      <c r="V26" s="11" t="s">
        <v>523</v>
      </c>
      <c r="W26" s="11">
        <f>TAMB</f>
        <v>85</v>
      </c>
      <c r="X26" s="11" t="s">
        <v>702</v>
      </c>
      <c r="Z26" s="11" t="s">
        <v>523</v>
      </c>
      <c r="AA26" s="11">
        <f>TAMB</f>
        <v>85</v>
      </c>
      <c r="AB26" s="11" t="s">
        <v>703</v>
      </c>
      <c r="AD26" s="11" t="s">
        <v>523</v>
      </c>
      <c r="AE26" s="11">
        <f>TAMB</f>
        <v>85</v>
      </c>
      <c r="AF26" s="11" t="s">
        <v>704</v>
      </c>
      <c r="AH26" s="11" t="s">
        <v>523</v>
      </c>
      <c r="AI26" s="11">
        <f>TAMB</f>
        <v>85</v>
      </c>
      <c r="AJ26" s="11" t="s">
        <v>705</v>
      </c>
      <c r="AL26" s="11" t="s">
        <v>523</v>
      </c>
      <c r="AM26" s="11">
        <f>TAMB</f>
        <v>85</v>
      </c>
      <c r="AN26" s="11" t="s">
        <v>706</v>
      </c>
    </row>
    <row r="27" ht="12.0" customHeight="1">
      <c r="B27" s="91" t="s">
        <v>707</v>
      </c>
      <c r="C27" s="11">
        <f>ThetaJA</f>
        <v>30</v>
      </c>
      <c r="D27" s="11" t="s">
        <v>544</v>
      </c>
      <c r="F27" s="91" t="s">
        <v>708</v>
      </c>
      <c r="G27" s="11">
        <f>ThetaJA</f>
        <v>30</v>
      </c>
      <c r="H27" s="11" t="s">
        <v>544</v>
      </c>
      <c r="J27" s="91" t="s">
        <v>709</v>
      </c>
      <c r="K27" s="11">
        <f>ThetaJA</f>
        <v>30</v>
      </c>
      <c r="L27" s="11" t="s">
        <v>544</v>
      </c>
      <c r="N27" s="91" t="s">
        <v>710</v>
      </c>
      <c r="O27" s="11">
        <f>ThetaJA</f>
        <v>30</v>
      </c>
      <c r="P27" s="11" t="s">
        <v>544</v>
      </c>
      <c r="R27" s="91" t="s">
        <v>711</v>
      </c>
      <c r="S27" s="11">
        <f>ThetaJA</f>
        <v>30</v>
      </c>
      <c r="T27" s="11" t="s">
        <v>544</v>
      </c>
      <c r="V27" s="91" t="s">
        <v>712</v>
      </c>
      <c r="W27" s="11">
        <f>ThetaJA</f>
        <v>30</v>
      </c>
      <c r="X27" s="11" t="s">
        <v>544</v>
      </c>
      <c r="Z27" s="91" t="s">
        <v>713</v>
      </c>
      <c r="AA27" s="11">
        <f>ThetaJA</f>
        <v>30</v>
      </c>
      <c r="AB27" s="11" t="s">
        <v>544</v>
      </c>
      <c r="AD27" s="91" t="s">
        <v>714</v>
      </c>
      <c r="AE27" s="11">
        <f>ThetaJA</f>
        <v>30</v>
      </c>
      <c r="AF27" s="11" t="s">
        <v>544</v>
      </c>
      <c r="AH27" s="91" t="s">
        <v>715</v>
      </c>
      <c r="AI27" s="11">
        <f>ThetaJA</f>
        <v>30</v>
      </c>
      <c r="AJ27" s="11" t="s">
        <v>544</v>
      </c>
      <c r="AL27" s="91" t="s">
        <v>716</v>
      </c>
      <c r="AM27" s="11">
        <f>ThetaJA</f>
        <v>30</v>
      </c>
      <c r="AN27" s="11" t="s">
        <v>544</v>
      </c>
    </row>
    <row r="28" ht="12.0" customHeight="1">
      <c r="B28" s="91" t="s">
        <v>563</v>
      </c>
      <c r="C28" s="114">
        <f>'Design Calculator'!F25</f>
        <v>100</v>
      </c>
      <c r="D28" s="11" t="s">
        <v>717</v>
      </c>
      <c r="F28" s="91" t="s">
        <v>563</v>
      </c>
      <c r="G28" s="114">
        <f>'Design Calculator'!F25</f>
        <v>100</v>
      </c>
      <c r="H28" s="11" t="s">
        <v>718</v>
      </c>
      <c r="J28" s="91" t="s">
        <v>563</v>
      </c>
      <c r="K28" s="114">
        <f>'Design Calculator'!F25</f>
        <v>100</v>
      </c>
      <c r="L28" s="11" t="s">
        <v>719</v>
      </c>
      <c r="N28" s="91" t="s">
        <v>563</v>
      </c>
      <c r="O28" s="114">
        <f>'Design Calculator'!F25</f>
        <v>100</v>
      </c>
      <c r="P28" s="11" t="s">
        <v>720</v>
      </c>
      <c r="R28" s="91" t="s">
        <v>563</v>
      </c>
      <c r="S28" s="114">
        <f>'Design Calculator'!F25</f>
        <v>100</v>
      </c>
      <c r="T28" s="11" t="s">
        <v>721</v>
      </c>
      <c r="V28" s="91" t="s">
        <v>563</v>
      </c>
      <c r="W28" s="114">
        <f>'Design Calculator'!F25</f>
        <v>100</v>
      </c>
      <c r="X28" s="11" t="s">
        <v>722</v>
      </c>
      <c r="Z28" s="91" t="s">
        <v>563</v>
      </c>
      <c r="AA28" s="114">
        <f>'Design Calculator'!F25</f>
        <v>100</v>
      </c>
      <c r="AB28" s="11" t="s">
        <v>723</v>
      </c>
      <c r="AD28" s="91" t="s">
        <v>563</v>
      </c>
      <c r="AE28" s="114">
        <f>'Design Calculator'!F25</f>
        <v>100</v>
      </c>
      <c r="AF28" s="11" t="s">
        <v>724</v>
      </c>
      <c r="AH28" s="91" t="s">
        <v>563</v>
      </c>
      <c r="AI28" s="114">
        <f>'Design Calculator'!F25</f>
        <v>100</v>
      </c>
      <c r="AJ28" s="11" t="s">
        <v>725</v>
      </c>
      <c r="AL28" s="91" t="s">
        <v>563</v>
      </c>
      <c r="AM28" s="114">
        <f>'Design Calculator'!F25</f>
        <v>100</v>
      </c>
      <c r="AN28" s="11" t="s">
        <v>726</v>
      </c>
    </row>
    <row r="29" ht="12.0" customHeight="1">
      <c r="B29" s="11"/>
      <c r="C29" s="11">
        <f>LOOKUP(C28,B11:B23,C11:C23)</f>
        <v>1.44</v>
      </c>
      <c r="D29" s="11"/>
      <c r="F29" s="11"/>
      <c r="G29" s="11">
        <f>LOOKUP(G28,F11:F23,G11:G23)</f>
        <v>1.58</v>
      </c>
      <c r="H29" s="11"/>
      <c r="J29" s="11"/>
      <c r="K29" s="11">
        <f>LOOKUP(K28,J11:J23,K11:K23)</f>
        <v>1.59</v>
      </c>
      <c r="L29" s="11"/>
      <c r="N29" s="11"/>
      <c r="O29" s="11">
        <f>LOOKUP(O28,N11:N23,O11:O23)</f>
        <v>1.6</v>
      </c>
      <c r="P29" s="11"/>
      <c r="R29" s="11"/>
      <c r="S29" s="11">
        <f>LOOKUP(S28,R11:R23,S11:S23)</f>
        <v>1.56</v>
      </c>
      <c r="T29" s="11"/>
      <c r="V29" s="11"/>
      <c r="W29" s="11">
        <f>LOOKUP(W28,V11:V23,W11:W23)</f>
        <v>1.6</v>
      </c>
      <c r="X29" s="11"/>
      <c r="Z29" s="11"/>
      <c r="AA29" s="11">
        <f>LOOKUP(AA28,Z11:Z23,AA11:AA23)</f>
        <v>1.61</v>
      </c>
      <c r="AB29" s="11"/>
      <c r="AD29" s="11"/>
      <c r="AE29" s="11">
        <f>LOOKUP(AE28,AD11:AD23,AE11:AE23)</f>
        <v>1.53</v>
      </c>
      <c r="AF29" s="11"/>
      <c r="AH29" s="11"/>
      <c r="AI29" s="11">
        <f>LOOKUP(AI28,AH11:AH23,AI11:AI23)</f>
        <v>1.58</v>
      </c>
      <c r="AJ29" s="11"/>
      <c r="AL29" s="11"/>
      <c r="AM29" s="11">
        <f>LOOKUP(AM28,AL11:AL23,AM11:AM23)</f>
        <v>1.5</v>
      </c>
      <c r="AN29" s="11"/>
    </row>
    <row r="30" ht="12.0" customHeight="1">
      <c r="B30" s="11" t="s">
        <v>583</v>
      </c>
      <c r="C30" s="282" t="s">
        <v>727</v>
      </c>
      <c r="D30" s="11"/>
      <c r="F30" s="11" t="s">
        <v>583</v>
      </c>
      <c r="G30" s="282" t="s">
        <v>728</v>
      </c>
      <c r="H30" s="11"/>
      <c r="J30" s="11" t="s">
        <v>583</v>
      </c>
      <c r="K30" s="282" t="s">
        <v>729</v>
      </c>
      <c r="L30" s="11"/>
      <c r="N30" s="11" t="s">
        <v>583</v>
      </c>
      <c r="O30" s="282" t="s">
        <v>730</v>
      </c>
      <c r="P30" s="11"/>
      <c r="R30" s="11" t="s">
        <v>583</v>
      </c>
      <c r="S30" s="282" t="s">
        <v>731</v>
      </c>
      <c r="T30" s="11"/>
      <c r="V30" s="11" t="s">
        <v>583</v>
      </c>
      <c r="W30" s="282" t="s">
        <v>732</v>
      </c>
      <c r="X30" s="11"/>
      <c r="Z30" s="11" t="s">
        <v>583</v>
      </c>
      <c r="AA30" s="282" t="s">
        <v>733</v>
      </c>
      <c r="AB30" s="11"/>
      <c r="AD30" s="11" t="s">
        <v>583</v>
      </c>
      <c r="AE30" s="282" t="s">
        <v>734</v>
      </c>
      <c r="AF30" s="11"/>
      <c r="AH30" s="11" t="s">
        <v>583</v>
      </c>
      <c r="AI30" s="282" t="s">
        <v>735</v>
      </c>
      <c r="AJ30" s="11"/>
      <c r="AL30" s="11" t="s">
        <v>583</v>
      </c>
      <c r="AM30" s="282" t="s">
        <v>736</v>
      </c>
      <c r="AN30" s="11"/>
    </row>
    <row r="31" ht="12.0" customHeight="1">
      <c r="B31" s="11" t="s">
        <v>603</v>
      </c>
      <c r="C31" s="11">
        <f>SQRT((C25*C25*C29*C7*C27)/(1000*(C28-C26)))</f>
        <v>0.6651075101</v>
      </c>
      <c r="D31" s="11"/>
      <c r="F31" s="11" t="s">
        <v>603</v>
      </c>
      <c r="G31" s="11">
        <f>SQRT((G25*G25*G29*G7*G27)/(1000*(G28-G26)))</f>
        <v>0.8292261453</v>
      </c>
      <c r="H31" s="11"/>
      <c r="J31" s="11" t="s">
        <v>603</v>
      </c>
      <c r="K31" s="11">
        <f>SQRT((K25*K25*K29*K7*K27)/(1000*(K28-K26)))</f>
        <v>0.998623052</v>
      </c>
      <c r="L31" s="11"/>
      <c r="N31" s="11" t="s">
        <v>603</v>
      </c>
      <c r="O31" s="11">
        <f>SQRT((O25*O25*O29*O7*O27)/(1000*(O28-O26)))</f>
        <v>1.070924834</v>
      </c>
      <c r="P31" s="11"/>
      <c r="R31" s="11" t="s">
        <v>603</v>
      </c>
      <c r="S31" s="11">
        <f>SQRT((S25*S25*S29*S7*S27)/(1000*(S28-S26)))</f>
        <v>1.130465391</v>
      </c>
      <c r="T31" s="11"/>
      <c r="V31" s="11" t="s">
        <v>603</v>
      </c>
      <c r="W31" s="11">
        <f>SQRT((W25*W25*W29*W7*W27)/(1000*(W28-W26)))</f>
        <v>1.387486937</v>
      </c>
      <c r="X31" s="11"/>
      <c r="Z31" s="11" t="s">
        <v>603</v>
      </c>
      <c r="AA31" s="11">
        <f>SQRT((AA25*AA25*AA29*AA7*AA27)/(1000*(AA28-AA26)))</f>
        <v>1.728629515</v>
      </c>
      <c r="AB31" s="11"/>
      <c r="AD31" s="11" t="s">
        <v>603</v>
      </c>
      <c r="AE31" s="11">
        <f>SQRT((AE25*AE25*AE29*AE7*AE27)/(1000*(AE28-AE26)))</f>
        <v>1.719646475</v>
      </c>
      <c r="AF31" s="11"/>
      <c r="AH31" s="11" t="s">
        <v>603</v>
      </c>
      <c r="AI31" s="11">
        <f>SQRT((AI25*AI25*AI29*AI7*AI27)/(1000*(AI28-AI26)))</f>
        <v>3.454295876</v>
      </c>
      <c r="AJ31" s="11"/>
      <c r="AL31" s="11" t="s">
        <v>603</v>
      </c>
      <c r="AM31" s="11">
        <f>SQRT((AM25*AM25*AM29*AM7*AM27)/(1000*(AM28-AM26)))</f>
        <v>3.365709435</v>
      </c>
      <c r="AN31" s="11"/>
    </row>
    <row r="32" ht="12.0" customHeight="1">
      <c r="B32" s="11" t="s">
        <v>604</v>
      </c>
      <c r="C32" s="11">
        <f>CEILING(C31,1)</f>
        <v>1</v>
      </c>
      <c r="D32" s="11"/>
      <c r="F32" s="11" t="s">
        <v>604</v>
      </c>
      <c r="G32" s="11">
        <f>CEILING(G31,1)</f>
        <v>1</v>
      </c>
      <c r="H32" s="11"/>
      <c r="J32" s="11" t="s">
        <v>604</v>
      </c>
      <c r="K32" s="11">
        <f>CEILING(K31,1)</f>
        <v>1</v>
      </c>
      <c r="L32" s="11"/>
      <c r="N32" s="11" t="s">
        <v>604</v>
      </c>
      <c r="O32" s="11">
        <f>CEILING(O31,1)</f>
        <v>2</v>
      </c>
      <c r="P32" s="11"/>
      <c r="R32" s="11" t="s">
        <v>604</v>
      </c>
      <c r="S32" s="11">
        <f>CEILING(S31,1)</f>
        <v>2</v>
      </c>
      <c r="T32" s="11"/>
      <c r="V32" s="11" t="s">
        <v>604</v>
      </c>
      <c r="W32" s="11">
        <f>CEILING(W31,1)</f>
        <v>2</v>
      </c>
      <c r="X32" s="11"/>
      <c r="Z32" s="11" t="s">
        <v>604</v>
      </c>
      <c r="AA32" s="11">
        <f>CEILING(AA31,1)</f>
        <v>2</v>
      </c>
      <c r="AB32" s="11"/>
      <c r="AD32" s="11" t="s">
        <v>604</v>
      </c>
      <c r="AE32" s="11">
        <f>CEILING(AE31,1)</f>
        <v>2</v>
      </c>
      <c r="AF32" s="11"/>
      <c r="AH32" s="11" t="s">
        <v>604</v>
      </c>
      <c r="AI32" s="11">
        <f>CEILING(AI31,1)</f>
        <v>4</v>
      </c>
      <c r="AJ32" s="11"/>
      <c r="AL32" s="11" t="s">
        <v>604</v>
      </c>
      <c r="AM32" s="11">
        <f>CEILING(AM31,1)</f>
        <v>4</v>
      </c>
      <c r="AN32" s="11"/>
    </row>
    <row r="33" ht="12.0" customHeight="1">
      <c r="B33" s="11" t="s">
        <v>605</v>
      </c>
      <c r="C33" s="11">
        <f>C25*C25*C29*C7/(1000*C32*C32)</f>
        <v>0.221184</v>
      </c>
      <c r="D33" s="11" t="s">
        <v>88</v>
      </c>
      <c r="F33" s="11" t="s">
        <v>605</v>
      </c>
      <c r="G33" s="11">
        <f>G25*G25*G29*G7/(1000*G32*G32)</f>
        <v>0.343808</v>
      </c>
      <c r="H33" s="11" t="s">
        <v>88</v>
      </c>
      <c r="J33" s="11" t="s">
        <v>605</v>
      </c>
      <c r="K33" s="11">
        <f>K25*K25*K29*K7/(1000*K32*K32)</f>
        <v>0.498624</v>
      </c>
      <c r="L33" s="11" t="s">
        <v>88</v>
      </c>
      <c r="N33" s="11" t="s">
        <v>605</v>
      </c>
      <c r="O33" s="11">
        <f>O25*O25*O29*O7/(1000*O32*O32)</f>
        <v>0.14336</v>
      </c>
      <c r="P33" s="11" t="s">
        <v>88</v>
      </c>
      <c r="R33" s="11" t="s">
        <v>605</v>
      </c>
      <c r="S33" s="11">
        <f>S25*S25*S29*S7/(1000*S32*S32)</f>
        <v>0.159744</v>
      </c>
      <c r="T33" s="11" t="s">
        <v>88</v>
      </c>
      <c r="V33" s="11" t="s">
        <v>605</v>
      </c>
      <c r="W33" s="11">
        <f>W25*W25*W29*W7/(1000*W32*W32)</f>
        <v>0.24064</v>
      </c>
      <c r="X33" s="11" t="s">
        <v>88</v>
      </c>
      <c r="Z33" s="11" t="s">
        <v>605</v>
      </c>
      <c r="AA33" s="11">
        <f>AA25*AA25*AA29*AA7/(1000*AA32*AA32)</f>
        <v>0.37352</v>
      </c>
      <c r="AB33" s="11" t="s">
        <v>88</v>
      </c>
      <c r="AD33" s="11" t="s">
        <v>605</v>
      </c>
      <c r="AE33" s="11">
        <f>AE25*AE25*AE29*AE7/(1000*AE32*AE32)</f>
        <v>0.369648</v>
      </c>
      <c r="AF33" s="11" t="s">
        <v>88</v>
      </c>
      <c r="AH33" s="11" t="s">
        <v>605</v>
      </c>
      <c r="AI33" s="11">
        <f>AI25*AI25*AI29*AI7/(1000*AI32*AI32)</f>
        <v>0.37288</v>
      </c>
      <c r="AJ33" s="11" t="s">
        <v>88</v>
      </c>
      <c r="AL33" s="11" t="s">
        <v>605</v>
      </c>
      <c r="AM33" s="11">
        <f>AM25*AM25*AM29*AM7/(1000*AM32*AM32)</f>
        <v>0.354</v>
      </c>
      <c r="AN33" s="11" t="s">
        <v>88</v>
      </c>
    </row>
    <row r="34" ht="12.0" customHeight="1">
      <c r="B34" s="11" t="s">
        <v>606</v>
      </c>
      <c r="C34" s="11">
        <f>C26+C33*C27</f>
        <v>91.63552</v>
      </c>
      <c r="D34" s="11" t="s">
        <v>737</v>
      </c>
      <c r="F34" s="11" t="s">
        <v>606</v>
      </c>
      <c r="G34" s="11">
        <f>G26+G33*G27</f>
        <v>95.31424</v>
      </c>
      <c r="H34" s="11" t="s">
        <v>738</v>
      </c>
      <c r="J34" s="11" t="s">
        <v>606</v>
      </c>
      <c r="K34" s="11">
        <f>K26+K33*K27</f>
        <v>99.95872</v>
      </c>
      <c r="L34" s="11" t="s">
        <v>739</v>
      </c>
      <c r="N34" s="11" t="s">
        <v>606</v>
      </c>
      <c r="O34" s="11">
        <f>O26+O33*O27</f>
        <v>89.3008</v>
      </c>
      <c r="P34" s="11" t="s">
        <v>740</v>
      </c>
      <c r="R34" s="11" t="s">
        <v>606</v>
      </c>
      <c r="S34" s="11">
        <f>S26+S33*S27</f>
        <v>89.79232</v>
      </c>
      <c r="T34" s="11" t="s">
        <v>741</v>
      </c>
      <c r="V34" s="11" t="s">
        <v>606</v>
      </c>
      <c r="W34" s="11">
        <f>W26+W33*W27</f>
        <v>92.2192</v>
      </c>
      <c r="X34" s="11" t="s">
        <v>742</v>
      </c>
      <c r="Z34" s="11" t="s">
        <v>606</v>
      </c>
      <c r="AA34" s="11">
        <f>AA26+AA33*AA27</f>
        <v>96.2056</v>
      </c>
      <c r="AB34" s="11" t="s">
        <v>743</v>
      </c>
      <c r="AD34" s="11" t="s">
        <v>606</v>
      </c>
      <c r="AE34" s="11">
        <f>AE26+AE33*AE27</f>
        <v>96.08944</v>
      </c>
      <c r="AF34" s="11" t="s">
        <v>744</v>
      </c>
      <c r="AH34" s="11" t="s">
        <v>606</v>
      </c>
      <c r="AI34" s="11">
        <f>AI26+AI33*AI27</f>
        <v>96.1864</v>
      </c>
      <c r="AJ34" s="11" t="s">
        <v>745</v>
      </c>
      <c r="AL34" s="11" t="s">
        <v>606</v>
      </c>
      <c r="AM34" s="11">
        <f>AM26+AM33*AM27</f>
        <v>95.62</v>
      </c>
      <c r="AN34" s="11" t="s">
        <v>746</v>
      </c>
    </row>
    <row r="35" ht="12.0" customHeight="1">
      <c r="B35" s="11" t="s">
        <v>626</v>
      </c>
      <c r="C35" s="11">
        <v>1.972</v>
      </c>
      <c r="D35" s="11"/>
      <c r="F35" s="11" t="s">
        <v>626</v>
      </c>
      <c r="G35" s="11">
        <v>1.313</v>
      </c>
      <c r="H35" s="11"/>
      <c r="J35" s="11" t="s">
        <v>626</v>
      </c>
      <c r="K35" s="11">
        <v>0.896</v>
      </c>
      <c r="L35" s="11"/>
      <c r="N35" s="11" t="s">
        <v>626</v>
      </c>
      <c r="O35" s="11">
        <v>0.914</v>
      </c>
      <c r="P35" s="11"/>
      <c r="R35" s="11" t="s">
        <v>626</v>
      </c>
      <c r="S35" s="11">
        <v>0.611</v>
      </c>
      <c r="T35" s="11"/>
      <c r="V35" s="11" t="s">
        <v>626</v>
      </c>
      <c r="W35" s="11">
        <v>0.48</v>
      </c>
      <c r="X35" s="11"/>
      <c r="Z35" s="11" t="s">
        <v>626</v>
      </c>
      <c r="AA35" s="11">
        <v>0.401</v>
      </c>
      <c r="AB35" s="11"/>
      <c r="AD35" s="11" t="s">
        <v>626</v>
      </c>
      <c r="AE35" s="11">
        <v>0.335</v>
      </c>
      <c r="AF35" s="11"/>
      <c r="AH35" s="11" t="s">
        <v>626</v>
      </c>
      <c r="AI35" s="11">
        <v>0.162</v>
      </c>
      <c r="AJ35" s="11"/>
      <c r="AL35" s="11" t="s">
        <v>626</v>
      </c>
      <c r="AM35" s="11">
        <v>0.162</v>
      </c>
      <c r="AN35" s="11"/>
    </row>
    <row r="36" ht="12.0" customHeight="1">
      <c r="B36" s="11"/>
      <c r="C36" s="11"/>
      <c r="D36" s="11"/>
      <c r="F36" s="11"/>
      <c r="G36" s="11"/>
      <c r="H36" s="11"/>
      <c r="J36" s="11"/>
      <c r="K36" s="11"/>
      <c r="L36" s="11"/>
      <c r="N36" s="11"/>
      <c r="O36" s="11"/>
      <c r="P36" s="11"/>
      <c r="R36" s="11"/>
      <c r="S36" s="11"/>
      <c r="T36" s="11"/>
      <c r="V36" s="11"/>
      <c r="W36" s="11"/>
      <c r="X36" s="11"/>
      <c r="Z36" s="11"/>
      <c r="AA36" s="11"/>
      <c r="AB36" s="11"/>
      <c r="AD36" s="11"/>
      <c r="AE36" s="11"/>
      <c r="AF36" s="11"/>
      <c r="AH36" s="11"/>
      <c r="AI36" s="11"/>
      <c r="AJ36" s="11"/>
      <c r="AL36" s="11"/>
      <c r="AM36" s="11"/>
      <c r="AN36" s="11"/>
    </row>
    <row r="37" ht="12.0" customHeight="1">
      <c r="B37" s="11"/>
      <c r="C37" s="11"/>
      <c r="D37" s="11"/>
      <c r="F37" s="11"/>
      <c r="G37" s="11"/>
      <c r="H37" s="11"/>
      <c r="J37" s="11"/>
      <c r="K37" s="11"/>
      <c r="L37" s="11"/>
      <c r="N37" s="11"/>
      <c r="O37" s="11"/>
      <c r="P37" s="11"/>
      <c r="R37" s="11"/>
      <c r="S37" s="11"/>
      <c r="T37" s="11"/>
      <c r="V37" s="11"/>
      <c r="W37" s="11"/>
      <c r="X37" s="11"/>
      <c r="Z37" s="11"/>
      <c r="AA37" s="11"/>
      <c r="AB37" s="11"/>
      <c r="AD37" s="11"/>
      <c r="AE37" s="11"/>
      <c r="AF37" s="11"/>
      <c r="AH37" s="11"/>
      <c r="AI37" s="11"/>
      <c r="AJ37" s="11"/>
      <c r="AL37" s="11"/>
      <c r="AM37" s="11"/>
      <c r="AN37" s="11"/>
    </row>
    <row r="38" ht="12.0" customHeight="1">
      <c r="B38" s="11" t="s">
        <v>628</v>
      </c>
      <c r="C38" s="11"/>
      <c r="D38" s="11"/>
      <c r="F38" s="11" t="s">
        <v>628</v>
      </c>
      <c r="G38" s="11"/>
      <c r="H38" s="11"/>
      <c r="J38" s="11" t="s">
        <v>628</v>
      </c>
      <c r="K38" s="11"/>
      <c r="L38" s="11"/>
      <c r="N38" s="11" t="s">
        <v>628</v>
      </c>
      <c r="O38" s="11"/>
      <c r="P38" s="11"/>
      <c r="R38" s="11" t="s">
        <v>628</v>
      </c>
      <c r="S38" s="11"/>
      <c r="T38" s="11"/>
      <c r="V38" s="11" t="s">
        <v>628</v>
      </c>
      <c r="W38" s="11"/>
      <c r="X38" s="11"/>
      <c r="Z38" s="11" t="s">
        <v>628</v>
      </c>
      <c r="AA38" s="11"/>
      <c r="AB38" s="11"/>
      <c r="AD38" s="11" t="s">
        <v>628</v>
      </c>
      <c r="AE38" s="11"/>
      <c r="AF38" s="11"/>
      <c r="AH38" s="11" t="s">
        <v>628</v>
      </c>
      <c r="AI38" s="11"/>
      <c r="AJ38" s="11"/>
      <c r="AL38" s="11" t="s">
        <v>628</v>
      </c>
      <c r="AM38" s="11"/>
      <c r="AN38" s="11"/>
    </row>
    <row r="39" ht="12.0" customHeight="1">
      <c r="B39" s="11">
        <v>0.01</v>
      </c>
      <c r="C39" s="143">
        <v>400.0</v>
      </c>
      <c r="D39" s="11" t="s">
        <v>58</v>
      </c>
      <c r="F39" s="11">
        <v>0.01</v>
      </c>
      <c r="G39" s="143">
        <v>400.0</v>
      </c>
      <c r="H39" s="11" t="s">
        <v>58</v>
      </c>
      <c r="J39" s="11">
        <v>0.01</v>
      </c>
      <c r="K39" s="143">
        <f>30220*VINMAX^-1.615</f>
        <v>124.3780185</v>
      </c>
      <c r="L39" s="11" t="s">
        <v>58</v>
      </c>
      <c r="N39" s="11">
        <v>0.01</v>
      </c>
      <c r="O39" s="143">
        <f>17178*VINMAX^-1</f>
        <v>572.6</v>
      </c>
      <c r="P39" s="11" t="s">
        <v>58</v>
      </c>
      <c r="R39" s="11">
        <v>0.01</v>
      </c>
      <c r="S39" s="143">
        <f>52855*VINMAX^-1.635</f>
        <v>203.2323438</v>
      </c>
      <c r="T39" s="11" t="s">
        <v>58</v>
      </c>
      <c r="V39" s="11">
        <v>0.01</v>
      </c>
      <c r="W39" s="143">
        <f>14788*VINMAX^-1.324</f>
        <v>163.7573873</v>
      </c>
      <c r="X39" s="11" t="s">
        <v>58</v>
      </c>
      <c r="Z39" s="11">
        <v>0.01</v>
      </c>
      <c r="AA39" s="143">
        <f>8327.2*VINMAX^-1</f>
        <v>277.5733333</v>
      </c>
      <c r="AB39" s="11" t="s">
        <v>58</v>
      </c>
      <c r="AD39" s="11">
        <v>0.01</v>
      </c>
      <c r="AE39" s="143">
        <f>11099*VINMAX^-1.441</f>
        <v>82.55666171</v>
      </c>
      <c r="AF39" s="11" t="s">
        <v>58</v>
      </c>
      <c r="AH39" s="11">
        <v>0.01</v>
      </c>
      <c r="AI39" s="143">
        <v>34.4</v>
      </c>
      <c r="AJ39" s="11" t="s">
        <v>58</v>
      </c>
      <c r="AL39" s="11">
        <v>0.01</v>
      </c>
      <c r="AM39" s="143">
        <v>37.0</v>
      </c>
      <c r="AN39" s="11" t="s">
        <v>58</v>
      </c>
    </row>
    <row r="40" ht="12.0" customHeight="1">
      <c r="B40" s="11">
        <v>0.1</v>
      </c>
      <c r="C40" s="143">
        <f>81187*VINMAX^-1.57</f>
        <v>389.4091248</v>
      </c>
      <c r="D40" s="11" t="s">
        <v>58</v>
      </c>
      <c r="F40" s="11">
        <v>0.1</v>
      </c>
      <c r="G40" s="143">
        <f>21797*VINMAX^-1.499</f>
        <v>133.1042625</v>
      </c>
      <c r="H40" s="11" t="s">
        <v>58</v>
      </c>
      <c r="J40" s="11">
        <v>0.1</v>
      </c>
      <c r="K40" s="143">
        <f>7262.7*VINMAX^-1.615</f>
        <v>29.89147038</v>
      </c>
      <c r="L40" s="11" t="s">
        <v>58</v>
      </c>
      <c r="N40" s="11">
        <v>0.1</v>
      </c>
      <c r="O40" s="143">
        <f>89244.4*VINMAX^-1.866</f>
        <v>156.4129521</v>
      </c>
      <c r="P40" s="11" t="s">
        <v>58</v>
      </c>
      <c r="R40" s="11">
        <v>0.1</v>
      </c>
      <c r="S40" s="143">
        <f>10071*VINMAX^-1.635</f>
        <v>38.7239227</v>
      </c>
      <c r="T40" s="11" t="s">
        <v>58</v>
      </c>
      <c r="V40" s="11">
        <v>0.1</v>
      </c>
      <c r="W40" s="143">
        <f>2234.1*VINMAX^-1.324</f>
        <v>24.7396794</v>
      </c>
      <c r="X40" s="11" t="s">
        <v>58</v>
      </c>
      <c r="Z40" s="11">
        <v>0.1</v>
      </c>
      <c r="AA40" s="143">
        <f>6972.3*VINMAX^-1.544</f>
        <v>36.53430483</v>
      </c>
      <c r="AB40" s="11" t="s">
        <v>58</v>
      </c>
      <c r="AD40" s="11">
        <v>0.1</v>
      </c>
      <c r="AE40" s="143">
        <f>2301*VINMAX^-1.441</f>
        <v>17.11531477</v>
      </c>
      <c r="AF40" s="11" t="s">
        <v>58</v>
      </c>
      <c r="AH40" s="11">
        <v>0.1</v>
      </c>
      <c r="AI40" s="143">
        <f>6382.61*VINMAX^-1.811</f>
        <v>13.48750802</v>
      </c>
      <c r="AJ40" s="11" t="s">
        <v>58</v>
      </c>
      <c r="AL40" s="11">
        <v>0.1</v>
      </c>
      <c r="AM40" s="143">
        <f>7915.7*VINMAX^-1.854</f>
        <v>14.4512868</v>
      </c>
      <c r="AN40" s="11" t="s">
        <v>58</v>
      </c>
    </row>
    <row r="41" ht="12.0" customHeight="1">
      <c r="B41" s="11">
        <v>1.0</v>
      </c>
      <c r="C41" s="143">
        <f>7406.1*VINMAX^-1.57</f>
        <v>35.5229645</v>
      </c>
      <c r="D41" s="11" t="s">
        <v>58</v>
      </c>
      <c r="F41" s="11">
        <v>1.0</v>
      </c>
      <c r="G41" s="143">
        <f>2910.8*VINMAX^-1.499</f>
        <v>17.77491798</v>
      </c>
      <c r="H41" s="11" t="s">
        <v>58</v>
      </c>
      <c r="J41" s="11">
        <v>1.0</v>
      </c>
      <c r="K41" s="143">
        <f>2213.6*VINMAX^-1.615</f>
        <v>9.110628118</v>
      </c>
      <c r="L41" s="11" t="s">
        <v>58</v>
      </c>
      <c r="N41" s="11">
        <v>1.0</v>
      </c>
      <c r="O41" s="143">
        <f>4961.45*VINMAX^-1.771</f>
        <v>12.01231956</v>
      </c>
      <c r="P41" s="11" t="s">
        <v>58</v>
      </c>
      <c r="R41" s="11">
        <v>1.0</v>
      </c>
      <c r="S41" s="143">
        <f>2529.8*VINMAX^-1.635</f>
        <v>9.727314035</v>
      </c>
      <c r="T41" s="11" t="s">
        <v>58</v>
      </c>
      <c r="V41" s="11">
        <v>1.0</v>
      </c>
      <c r="W41" s="143">
        <f>462.49*VINMAX^-1.324</f>
        <v>5.121460241</v>
      </c>
      <c r="X41" s="11" t="s">
        <v>58</v>
      </c>
      <c r="Z41" s="11">
        <v>1.0</v>
      </c>
      <c r="AA41" s="143">
        <f>780.45*VINMAX^-1.544</f>
        <v>4.089496753</v>
      </c>
      <c r="AB41" s="11" t="s">
        <v>58</v>
      </c>
      <c r="AD41" s="11">
        <v>1.0</v>
      </c>
      <c r="AE41" s="143">
        <f>620.07*VINMAX^-1.441</f>
        <v>4.612209138</v>
      </c>
      <c r="AF41" s="11" t="s">
        <v>58</v>
      </c>
      <c r="AH41" s="11">
        <v>1.0</v>
      </c>
      <c r="AI41" s="143">
        <f>297.466*VINMAX^-1.587</f>
        <v>1.346622611</v>
      </c>
      <c r="AJ41" s="11" t="s">
        <v>58</v>
      </c>
      <c r="AL41" s="11">
        <v>1.0</v>
      </c>
      <c r="AM41" s="143">
        <f>417.872*VINMAX^-1.615</f>
        <v>1.719857424</v>
      </c>
      <c r="AN41" s="11" t="s">
        <v>58</v>
      </c>
    </row>
    <row r="42" ht="12.0" customHeight="1">
      <c r="B42" s="11">
        <v>10.0</v>
      </c>
      <c r="C42" s="143">
        <f>2304.5*VINMAX^-1.57</f>
        <v>11.05341161</v>
      </c>
      <c r="D42" s="11" t="s">
        <v>58</v>
      </c>
      <c r="F42" s="11">
        <v>10.0</v>
      </c>
      <c r="G42" s="143">
        <f>868.34*VINMAX^-1.499</f>
        <v>5.302553346</v>
      </c>
      <c r="H42" s="11" t="s">
        <v>58</v>
      </c>
      <c r="J42" s="11">
        <v>10.0</v>
      </c>
      <c r="K42" s="143">
        <f>822.43*VINMAX^-1.615</f>
        <v>3.384917728</v>
      </c>
      <c r="L42" s="11" t="s">
        <v>58</v>
      </c>
      <c r="N42" s="11">
        <v>10.0</v>
      </c>
      <c r="O42" s="143">
        <f>700.975*VINMAX^-1.653</f>
        <v>2.535251774</v>
      </c>
      <c r="P42" s="11" t="s">
        <v>58</v>
      </c>
      <c r="R42" s="11">
        <v>10.0</v>
      </c>
      <c r="S42" s="143">
        <f>800*VINMAX^-1.635</f>
        <v>3.076073693</v>
      </c>
      <c r="T42" s="11" t="s">
        <v>58</v>
      </c>
      <c r="V42" s="11">
        <v>10.0</v>
      </c>
      <c r="W42" s="143">
        <f>124.48*VINMAX^-1.324</f>
        <v>1.378450066</v>
      </c>
      <c r="X42" s="11" t="s">
        <v>58</v>
      </c>
      <c r="Z42" s="11">
        <v>10.0</v>
      </c>
      <c r="AA42" s="143">
        <f>294.05*VINMAX^-1.544</f>
        <v>1.540798924</v>
      </c>
      <c r="AB42" s="11" t="s">
        <v>58</v>
      </c>
      <c r="AD42" s="11">
        <v>10.0</v>
      </c>
      <c r="AE42" s="143">
        <f>207.91*VINMAX^-1.441</f>
        <v>1.546477659</v>
      </c>
      <c r="AF42" s="11" t="s">
        <v>58</v>
      </c>
      <c r="AH42" s="11">
        <v>10.0</v>
      </c>
      <c r="AI42" s="143">
        <f>58.33815*VINMAX^-1.39</f>
        <v>0.5161240645</v>
      </c>
      <c r="AJ42" s="11" t="s">
        <v>58</v>
      </c>
      <c r="AL42" s="11">
        <v>10.0</v>
      </c>
      <c r="AM42" s="143">
        <f>100.1*VINMAX^-1.471</f>
        <v>0.6723396315</v>
      </c>
      <c r="AN42" s="11" t="s">
        <v>58</v>
      </c>
    </row>
    <row r="43" ht="12.0" customHeight="1">
      <c r="B43" s="11">
        <v>100.0</v>
      </c>
      <c r="C43" s="143">
        <f>1175.8*VINMAX^-1.57</f>
        <v>5.639662125</v>
      </c>
      <c r="D43" s="11" t="s">
        <v>58</v>
      </c>
      <c r="F43" s="11">
        <v>100.0</v>
      </c>
      <c r="G43" s="143">
        <f>509.52*VINMAX^-1.499</f>
        <v>3.111404497</v>
      </c>
      <c r="H43" s="11" t="s">
        <v>58</v>
      </c>
      <c r="J43" s="11">
        <v>100.0</v>
      </c>
      <c r="K43" s="143">
        <f>266.13*VINMAX^-1.615</f>
        <v>1.095325019</v>
      </c>
      <c r="L43" s="11" t="s">
        <v>58</v>
      </c>
      <c r="N43" s="11">
        <v>100.0</v>
      </c>
      <c r="O43" s="143">
        <f>284.092*VINMAX^-1.545</f>
        <v>1.483565296</v>
      </c>
      <c r="P43" s="11" t="s">
        <v>58</v>
      </c>
      <c r="R43" s="11">
        <v>100.0</v>
      </c>
      <c r="S43" s="143">
        <f>241.6*VINMAX^-1.635</f>
        <v>0.9289742552</v>
      </c>
      <c r="T43" s="11" t="s">
        <v>58</v>
      </c>
      <c r="V43" s="11">
        <v>100.0</v>
      </c>
      <c r="W43" s="143">
        <f>75.006*VINMAX^-1.324</f>
        <v>0.8305914655</v>
      </c>
      <c r="X43" s="11" t="s">
        <v>58</v>
      </c>
      <c r="Z43" s="11">
        <v>100.0</v>
      </c>
      <c r="AA43" s="143">
        <f>75.64*VINMAX^-1.312</f>
        <v>0.8725060237</v>
      </c>
      <c r="AB43" s="11" t="s">
        <v>58</v>
      </c>
      <c r="AD43" s="11">
        <v>100.0</v>
      </c>
      <c r="AE43" s="143">
        <f>103.96*VINMAX^-1.441</f>
        <v>0.7732760205</v>
      </c>
      <c r="AF43" s="11" t="s">
        <v>58</v>
      </c>
      <c r="AH43" s="11">
        <v>100.0</v>
      </c>
      <c r="AI43" s="143">
        <f>15.90615*VINMAX^-1.222</f>
        <v>0.2491855764</v>
      </c>
      <c r="AJ43" s="11" t="s">
        <v>58</v>
      </c>
      <c r="AL43" s="11">
        <v>100.0</v>
      </c>
      <c r="AM43" s="143">
        <f>20.2878*VINMAX^-1.191</f>
        <v>0.3531697846</v>
      </c>
      <c r="AN43" s="11" t="s">
        <v>58</v>
      </c>
    </row>
    <row r="44" ht="12.0" customHeight="1">
      <c r="B44" s="11"/>
      <c r="C44" s="11"/>
      <c r="D44" s="11"/>
      <c r="F44" s="11"/>
      <c r="G44" s="11"/>
      <c r="H44" s="11"/>
      <c r="J44" s="11"/>
      <c r="K44" s="11"/>
      <c r="L44" s="11"/>
      <c r="N44" s="11"/>
      <c r="O44" s="11"/>
      <c r="P44" s="11"/>
      <c r="R44" s="11"/>
      <c r="S44" s="11"/>
      <c r="T44" s="11"/>
      <c r="V44" s="11"/>
      <c r="W44" s="11"/>
      <c r="X44" s="11"/>
      <c r="Z44" s="11"/>
      <c r="AA44" s="11"/>
      <c r="AB44" s="11"/>
      <c r="AD44" s="11"/>
      <c r="AE44" s="11"/>
      <c r="AF44" s="11"/>
      <c r="AH44" s="11"/>
      <c r="AI44" s="11"/>
      <c r="AJ44" s="11"/>
      <c r="AL44" s="11"/>
      <c r="AM44" s="11"/>
      <c r="AN44" s="11"/>
    </row>
    <row r="45" ht="12.0" customHeight="1">
      <c r="B45" s="11" t="s">
        <v>629</v>
      </c>
      <c r="C45" s="285">
        <f>IF('Design Calculator'!F30="Soft Start",'Design Calculator'!F31-0.00001,'Design Calculator'!F79)</f>
        <v>0.99999</v>
      </c>
      <c r="D45" s="11" t="s">
        <v>77</v>
      </c>
      <c r="F45" s="11" t="s">
        <v>629</v>
      </c>
      <c r="G45" s="285">
        <f>IF('Design Calculator'!F30="Soft Start",'Design Calculator'!F31-0.00001,'Design Calculator'!F79)</f>
        <v>0.99999</v>
      </c>
      <c r="H45" s="11" t="s">
        <v>77</v>
      </c>
      <c r="J45" s="11" t="s">
        <v>629</v>
      </c>
      <c r="K45" s="285">
        <f>IF('Design Calculator'!F30="Soft Start",'Design Calculator'!F31-0.00001,'Design Calculator'!F79)</f>
        <v>0.99999</v>
      </c>
      <c r="L45" s="11" t="s">
        <v>77</v>
      </c>
      <c r="N45" s="11" t="s">
        <v>629</v>
      </c>
      <c r="O45" s="285">
        <f>IF('Design Calculator'!F30="Soft Start",'Design Calculator'!F31-0.00001,'Design Calculator'!F79)</f>
        <v>0.99999</v>
      </c>
      <c r="P45" s="11" t="s">
        <v>77</v>
      </c>
      <c r="R45" s="11" t="s">
        <v>629</v>
      </c>
      <c r="S45" s="285">
        <f>IF('Design Calculator'!F30="Soft Start",'Design Calculator'!F31-0.00001,'Design Calculator'!F79)</f>
        <v>0.99999</v>
      </c>
      <c r="T45" s="11" t="s">
        <v>77</v>
      </c>
      <c r="V45" s="11" t="s">
        <v>629</v>
      </c>
      <c r="W45" s="285">
        <f>IF('Design Calculator'!F30="Soft Start",'Design Calculator'!F31-0.00001,'Design Calculator'!F79)</f>
        <v>0.99999</v>
      </c>
      <c r="X45" s="11" t="s">
        <v>77</v>
      </c>
      <c r="Z45" s="11" t="s">
        <v>629</v>
      </c>
      <c r="AA45" s="285">
        <f>IF('Design Calculator'!F30="Soft Start",'Design Calculator'!F31-0.00001,'Design Calculator'!F79)</f>
        <v>0.99999</v>
      </c>
      <c r="AB45" s="11" t="s">
        <v>77</v>
      </c>
      <c r="AD45" s="11" t="s">
        <v>629</v>
      </c>
      <c r="AE45" s="285">
        <f>IF('Design Calculator'!F30="Soft Start",'Design Calculator'!F31-0.00001,'Design Calculator'!F79)</f>
        <v>0.99999</v>
      </c>
      <c r="AF45" s="11" t="s">
        <v>77</v>
      </c>
      <c r="AH45" s="11" t="s">
        <v>629</v>
      </c>
      <c r="AI45" s="285">
        <f>IF('Design Calculator'!F30="Soft Start",'Design Calculator'!F31-0.00001,'Design Calculator'!F79)</f>
        <v>0.99999</v>
      </c>
      <c r="AJ45" s="11" t="s">
        <v>77</v>
      </c>
      <c r="AL45" s="11" t="s">
        <v>629</v>
      </c>
      <c r="AM45" s="285">
        <f>IF('Design Calculator'!F30="Soft Start",'Design Calculator'!F31-0.00001,'Design Calculator'!F79)</f>
        <v>0.99999</v>
      </c>
      <c r="AN45" s="11" t="s">
        <v>77</v>
      </c>
    </row>
    <row r="46" ht="12.0" customHeight="1">
      <c r="B46" s="11"/>
      <c r="C46" s="11"/>
      <c r="D46" s="11"/>
      <c r="F46" s="11"/>
      <c r="G46" s="11"/>
      <c r="H46" s="11"/>
      <c r="J46" s="11"/>
      <c r="K46" s="11"/>
      <c r="L46" s="11"/>
      <c r="N46" s="11"/>
      <c r="O46" s="11"/>
      <c r="P46" s="11"/>
      <c r="R46" s="11"/>
      <c r="S46" s="11"/>
      <c r="T46" s="11"/>
      <c r="V46" s="11"/>
      <c r="W46" s="11"/>
      <c r="X46" s="11"/>
      <c r="Z46" s="11"/>
      <c r="AA46" s="11"/>
      <c r="AB46" s="11"/>
      <c r="AD46" s="11"/>
      <c r="AE46" s="11"/>
      <c r="AF46" s="11"/>
      <c r="AH46" s="11"/>
      <c r="AI46" s="11"/>
      <c r="AJ46" s="11"/>
      <c r="AL46" s="11"/>
      <c r="AM46" s="11"/>
      <c r="AN46" s="11"/>
    </row>
    <row r="47" ht="12.0" customHeight="1">
      <c r="B47" s="11" t="s">
        <v>630</v>
      </c>
      <c r="C47" s="11">
        <f>IF(C45&gt;B42,10,IF(C45&gt;B41,1,IF(C45&gt;B40,0.1,0.01)))</f>
        <v>0.1</v>
      </c>
      <c r="D47" s="11" t="s">
        <v>77</v>
      </c>
      <c r="F47" s="11" t="s">
        <v>630</v>
      </c>
      <c r="G47" s="11">
        <f>IF(G45&gt;F42,10,IF(G45&gt;F41,1,IF(G45&gt;F40,0.1,0.01)))</f>
        <v>0.1</v>
      </c>
      <c r="H47" s="11" t="s">
        <v>77</v>
      </c>
      <c r="J47" s="11" t="s">
        <v>630</v>
      </c>
      <c r="K47" s="11">
        <f>IF(K45&gt;J42,10,IF(K45&gt;J41,1,IF(K45&gt;J40,0.1,0.01)))</f>
        <v>0.1</v>
      </c>
      <c r="L47" s="11" t="s">
        <v>77</v>
      </c>
      <c r="N47" s="11" t="s">
        <v>630</v>
      </c>
      <c r="O47" s="11">
        <f>IF(O45&gt;N42,10,IF(O45&gt;N41,1,IF(O45&gt;N40,0.1,0.01)))</f>
        <v>0.1</v>
      </c>
      <c r="P47" s="11" t="s">
        <v>77</v>
      </c>
      <c r="R47" s="11" t="s">
        <v>630</v>
      </c>
      <c r="S47" s="11">
        <f>IF(S45&gt;R42,10,IF(S45&gt;R41,1,IF(S45&gt;R40,0.1,0.01)))</f>
        <v>0.1</v>
      </c>
      <c r="T47" s="11" t="s">
        <v>77</v>
      </c>
      <c r="V47" s="11" t="s">
        <v>630</v>
      </c>
      <c r="W47" s="11">
        <f>IF(W45&gt;V42,10,IF(W45&gt;V41,1,IF(W45&gt;V40,0.1,0.01)))</f>
        <v>0.1</v>
      </c>
      <c r="X47" s="11" t="s">
        <v>77</v>
      </c>
      <c r="Z47" s="11" t="s">
        <v>630</v>
      </c>
      <c r="AA47" s="11">
        <f>IF(AA45&gt;Z42,10,IF(AA45&gt;Z41,1,IF(AA45&gt;Z40,0.1,0.01)))</f>
        <v>0.1</v>
      </c>
      <c r="AB47" s="11" t="s">
        <v>77</v>
      </c>
      <c r="AD47" s="11" t="s">
        <v>630</v>
      </c>
      <c r="AE47" s="11">
        <f>IF(AE45&gt;AD42,10,IF(AE45&gt;AD41,1,IF(AE45&gt;AD40,0.1,0.01)))</f>
        <v>0.1</v>
      </c>
      <c r="AF47" s="11" t="s">
        <v>77</v>
      </c>
      <c r="AH47" s="11" t="s">
        <v>630</v>
      </c>
      <c r="AI47" s="11">
        <f>IF(AI45&gt;AH42,10,IF(AI45&gt;AH41,1,IF(AI45&gt;AH40,0.1,0.01)))</f>
        <v>0.1</v>
      </c>
      <c r="AJ47" s="11" t="s">
        <v>77</v>
      </c>
      <c r="AL47" s="11" t="s">
        <v>630</v>
      </c>
      <c r="AM47" s="11">
        <f>IF(AM45&gt;AL42,10,IF(AM45&gt;AL41,1,IF(AM45&gt;AL40,0.1,0.01)))</f>
        <v>0.1</v>
      </c>
      <c r="AN47" s="11" t="s">
        <v>77</v>
      </c>
    </row>
    <row r="48" ht="12.0" customHeight="1">
      <c r="B48" s="11" t="s">
        <v>631</v>
      </c>
      <c r="C48" s="143">
        <f>LOOKUP(C47,B39:B43,C39:C43)</f>
        <v>389.4091248</v>
      </c>
      <c r="D48" s="11" t="s">
        <v>58</v>
      </c>
      <c r="F48" s="11" t="s">
        <v>631</v>
      </c>
      <c r="G48" s="143">
        <f>LOOKUP(G47,F39:F43,G39:G43)</f>
        <v>133.1042625</v>
      </c>
      <c r="H48" s="11" t="s">
        <v>58</v>
      </c>
      <c r="J48" s="11" t="s">
        <v>631</v>
      </c>
      <c r="K48" s="143">
        <f>LOOKUP(K47,J39:J43,K39:K43)</f>
        <v>29.89147038</v>
      </c>
      <c r="L48" s="11" t="s">
        <v>58</v>
      </c>
      <c r="N48" s="11" t="s">
        <v>631</v>
      </c>
      <c r="O48" s="143">
        <f>LOOKUP(O47,N39:N43,O39:O43)</f>
        <v>156.4129521</v>
      </c>
      <c r="P48" s="11" t="s">
        <v>58</v>
      </c>
      <c r="R48" s="11" t="s">
        <v>631</v>
      </c>
      <c r="S48" s="143">
        <f>LOOKUP(S47,R39:R43,S39:S43)</f>
        <v>38.7239227</v>
      </c>
      <c r="T48" s="11" t="s">
        <v>58</v>
      </c>
      <c r="V48" s="11" t="s">
        <v>631</v>
      </c>
      <c r="W48" s="143">
        <f>LOOKUP(W47,V39:V43,W39:W43)</f>
        <v>24.7396794</v>
      </c>
      <c r="X48" s="11" t="s">
        <v>58</v>
      </c>
      <c r="Z48" s="11" t="s">
        <v>631</v>
      </c>
      <c r="AA48" s="143">
        <f>LOOKUP(AA47,Z39:Z43,AA39:AA43)</f>
        <v>36.53430483</v>
      </c>
      <c r="AB48" s="11" t="s">
        <v>58</v>
      </c>
      <c r="AD48" s="11" t="s">
        <v>631</v>
      </c>
      <c r="AE48" s="143">
        <f>LOOKUP(AE47,AD39:AD43,AE39:AE43)</f>
        <v>17.11531477</v>
      </c>
      <c r="AF48" s="11" t="s">
        <v>58</v>
      </c>
      <c r="AH48" s="11" t="s">
        <v>631</v>
      </c>
      <c r="AI48" s="143">
        <f>LOOKUP(AI47,AH39:AH43,AI39:AI43)</f>
        <v>13.48750802</v>
      </c>
      <c r="AJ48" s="11" t="s">
        <v>58</v>
      </c>
      <c r="AL48" s="11" t="s">
        <v>631</v>
      </c>
      <c r="AM48" s="143">
        <f>LOOKUP(AM47,AL39:AL43,AM39:AM43)</f>
        <v>14.4512868</v>
      </c>
      <c r="AN48" s="11" t="s">
        <v>58</v>
      </c>
    </row>
    <row r="49" ht="12.0" customHeight="1">
      <c r="B49" s="11" t="s">
        <v>632</v>
      </c>
      <c r="C49" s="11">
        <f>IF(C45&lt;B39,0.01,IF(C45&lt;B40,0.1,IF(C45&lt;B41,1,IF(C45&lt;B42,10,100))))</f>
        <v>1</v>
      </c>
      <c r="D49" s="11" t="s">
        <v>77</v>
      </c>
      <c r="F49" s="11" t="s">
        <v>632</v>
      </c>
      <c r="G49" s="11">
        <f>IF(G45&lt;F39,0.01,IF(G45&lt;F40,0.1,IF(G45&lt;F41,1,IF(G45&lt;F42,10,100))))</f>
        <v>1</v>
      </c>
      <c r="H49" s="11" t="s">
        <v>77</v>
      </c>
      <c r="J49" s="11" t="s">
        <v>632</v>
      </c>
      <c r="K49" s="11">
        <f>IF(K45&lt;J39,0.01,IF(K45&lt;J40,0.1,IF(K45&lt;J41,1,IF(K45&lt;J42,10,100))))</f>
        <v>1</v>
      </c>
      <c r="L49" s="11" t="s">
        <v>77</v>
      </c>
      <c r="N49" s="11" t="s">
        <v>632</v>
      </c>
      <c r="O49" s="11">
        <f>IF(O45&lt;N39,0.01,IF(O45&lt;N40,0.1,IF(O45&lt;N41,1,IF(O45&lt;N42,10,100))))</f>
        <v>1</v>
      </c>
      <c r="P49" s="11" t="s">
        <v>77</v>
      </c>
      <c r="R49" s="11" t="s">
        <v>632</v>
      </c>
      <c r="S49" s="11">
        <f>IF(S45&lt;R39,0.01,IF(S45&lt;R40,0.1,IF(S45&lt;R41,1,IF(S45&lt;R42,10,100))))</f>
        <v>1</v>
      </c>
      <c r="T49" s="11" t="s">
        <v>77</v>
      </c>
      <c r="V49" s="11" t="s">
        <v>632</v>
      </c>
      <c r="W49" s="11">
        <f>IF(W45&lt;V39,0.01,IF(W45&lt;V40,0.1,IF(W45&lt;V41,1,IF(W45&lt;V42,10,100))))</f>
        <v>1</v>
      </c>
      <c r="X49" s="11" t="s">
        <v>77</v>
      </c>
      <c r="Z49" s="11" t="s">
        <v>632</v>
      </c>
      <c r="AA49" s="11">
        <f>IF(AA45&lt;Z39,0.01,IF(AA45&lt;Z40,0.1,IF(AA45&lt;Z41,1,IF(AA45&lt;Z42,10,100))))</f>
        <v>1</v>
      </c>
      <c r="AB49" s="11" t="s">
        <v>77</v>
      </c>
      <c r="AD49" s="11" t="s">
        <v>632</v>
      </c>
      <c r="AE49" s="11">
        <f>IF(AE45&lt;AD39,0.01,IF(AE45&lt;AD40,0.1,IF(AE45&lt;AD41,1,IF(AE45&lt;AD42,10,100))))</f>
        <v>1</v>
      </c>
      <c r="AF49" s="11" t="s">
        <v>77</v>
      </c>
      <c r="AH49" s="11" t="s">
        <v>632</v>
      </c>
      <c r="AI49" s="11">
        <f>IF(AI45&lt;AH39,0.01,IF(AI45&lt;AH40,0.1,IF(AI45&lt;AH41,1,IF(AI45&lt;AH42,10,100))))</f>
        <v>1</v>
      </c>
      <c r="AJ49" s="11" t="s">
        <v>77</v>
      </c>
      <c r="AL49" s="11" t="s">
        <v>632</v>
      </c>
      <c r="AM49" s="11">
        <f>IF(AM45&lt;AL39,0.01,IF(AM45&lt;AL40,0.1,IF(AM45&lt;AL41,1,IF(AM45&lt;AL42,10,100))))</f>
        <v>1</v>
      </c>
      <c r="AN49" s="11" t="s">
        <v>77</v>
      </c>
    </row>
    <row r="50" ht="12.0" customHeight="1">
      <c r="B50" s="11" t="s">
        <v>633</v>
      </c>
      <c r="C50" s="143">
        <f>LOOKUP(C49,B39:B43,C39:C43)</f>
        <v>35.5229645</v>
      </c>
      <c r="D50" s="11" t="s">
        <v>58</v>
      </c>
      <c r="F50" s="11" t="s">
        <v>633</v>
      </c>
      <c r="G50" s="143">
        <f>LOOKUP(G49,F39:F43,G39:G43)</f>
        <v>17.77491798</v>
      </c>
      <c r="H50" s="11" t="s">
        <v>58</v>
      </c>
      <c r="J50" s="11" t="s">
        <v>633</v>
      </c>
      <c r="K50" s="143">
        <f>LOOKUP(K49,J39:J43,K39:K43)</f>
        <v>9.110628118</v>
      </c>
      <c r="L50" s="11" t="s">
        <v>58</v>
      </c>
      <c r="N50" s="11" t="s">
        <v>633</v>
      </c>
      <c r="O50" s="143">
        <f>LOOKUP(O49,N39:N43,O39:O43)</f>
        <v>12.01231956</v>
      </c>
      <c r="P50" s="11" t="s">
        <v>58</v>
      </c>
      <c r="R50" s="11" t="s">
        <v>633</v>
      </c>
      <c r="S50" s="143">
        <f>LOOKUP(S49,R39:R43,S39:S43)</f>
        <v>9.727314035</v>
      </c>
      <c r="T50" s="11" t="s">
        <v>58</v>
      </c>
      <c r="V50" s="11" t="s">
        <v>633</v>
      </c>
      <c r="W50" s="143">
        <f>LOOKUP(W49,V39:V43,W39:W43)</f>
        <v>5.121460241</v>
      </c>
      <c r="X50" s="11" t="s">
        <v>58</v>
      </c>
      <c r="Z50" s="11" t="s">
        <v>633</v>
      </c>
      <c r="AA50" s="143">
        <f>LOOKUP(AA49,Z39:Z43,AA39:AA43)</f>
        <v>4.089496753</v>
      </c>
      <c r="AB50" s="11" t="s">
        <v>58</v>
      </c>
      <c r="AD50" s="11" t="s">
        <v>633</v>
      </c>
      <c r="AE50" s="143">
        <f>LOOKUP(AE49,AD39:AD43,AE39:AE43)</f>
        <v>4.612209138</v>
      </c>
      <c r="AF50" s="11" t="s">
        <v>58</v>
      </c>
      <c r="AH50" s="11" t="s">
        <v>633</v>
      </c>
      <c r="AI50" s="143">
        <f>LOOKUP(AI49,AH39:AH43,AI39:AI43)</f>
        <v>1.346622611</v>
      </c>
      <c r="AJ50" s="11" t="s">
        <v>58</v>
      </c>
      <c r="AL50" s="11" t="s">
        <v>633</v>
      </c>
      <c r="AM50" s="143">
        <f>LOOKUP(AM49,AL39:AL43,AM39:AM43)</f>
        <v>1.719857424</v>
      </c>
      <c r="AN50" s="11" t="s">
        <v>58</v>
      </c>
    </row>
    <row r="51" ht="12.0" customHeight="1">
      <c r="B51" s="11"/>
      <c r="C51" s="11"/>
      <c r="D51" s="11"/>
      <c r="F51" s="11"/>
      <c r="G51" s="11"/>
      <c r="H51" s="11"/>
      <c r="J51" s="11"/>
      <c r="K51" s="11"/>
      <c r="L51" s="11"/>
      <c r="N51" s="11"/>
      <c r="O51" s="11"/>
      <c r="P51" s="11"/>
      <c r="R51" s="11"/>
      <c r="S51" s="11"/>
      <c r="T51" s="11"/>
      <c r="V51" s="11"/>
      <c r="W51" s="11"/>
      <c r="X51" s="11"/>
      <c r="Z51" s="11"/>
      <c r="AA51" s="11"/>
      <c r="AB51" s="11"/>
      <c r="AD51" s="11"/>
      <c r="AE51" s="11"/>
      <c r="AF51" s="11"/>
      <c r="AH51" s="11"/>
      <c r="AI51" s="11"/>
      <c r="AJ51" s="11"/>
      <c r="AL51" s="11"/>
      <c r="AM51" s="11"/>
      <c r="AN51" s="11"/>
    </row>
    <row r="52" ht="12.0" customHeight="1">
      <c r="B52" s="11" t="s">
        <v>634</v>
      </c>
      <c r="C52" s="11">
        <f>C48/C47^C53</f>
        <v>35.5229645</v>
      </c>
      <c r="D52" s="11"/>
      <c r="F52" s="11" t="s">
        <v>634</v>
      </c>
      <c r="G52" s="11">
        <f>G48/G47^G53</f>
        <v>17.77491798</v>
      </c>
      <c r="H52" s="11"/>
      <c r="J52" s="11" t="s">
        <v>634</v>
      </c>
      <c r="K52" s="11">
        <f>K48/K47^K53</f>
        <v>9.110628118</v>
      </c>
      <c r="L52" s="11"/>
      <c r="N52" s="11" t="s">
        <v>634</v>
      </c>
      <c r="O52" s="11">
        <f>O48/O47^O53</f>
        <v>12.01231956</v>
      </c>
      <c r="P52" s="11"/>
      <c r="R52" s="11" t="s">
        <v>634</v>
      </c>
      <c r="S52" s="11">
        <f>S48/S47^S53</f>
        <v>9.727314035</v>
      </c>
      <c r="T52" s="11"/>
      <c r="V52" s="11" t="s">
        <v>634</v>
      </c>
      <c r="W52" s="11">
        <f>W48/W47^W53</f>
        <v>5.121460241</v>
      </c>
      <c r="X52" s="11"/>
      <c r="Z52" s="11" t="s">
        <v>634</v>
      </c>
      <c r="AA52" s="11">
        <f>AA48/AA47^AA53</f>
        <v>4.089496753</v>
      </c>
      <c r="AB52" s="11"/>
      <c r="AD52" s="11" t="s">
        <v>634</v>
      </c>
      <c r="AE52" s="11">
        <f>AE48/AE47^AE53</f>
        <v>4.612209138</v>
      </c>
      <c r="AF52" s="11"/>
      <c r="AH52" s="11" t="s">
        <v>634</v>
      </c>
      <c r="AI52" s="11">
        <f>AI48/AI47^AI53</f>
        <v>1.346622611</v>
      </c>
      <c r="AJ52" s="11"/>
      <c r="AL52" s="11" t="s">
        <v>634</v>
      </c>
      <c r="AM52" s="11">
        <f>AM48/AM47^AM53</f>
        <v>1.719857424</v>
      </c>
      <c r="AN52" s="11"/>
    </row>
    <row r="53" ht="12.0" customHeight="1">
      <c r="B53" s="11" t="s">
        <v>635</v>
      </c>
      <c r="C53" s="11">
        <f>IF(C49=C47,1E-14,LOG(C48/C50)/LOG(C47/C49))</f>
        <v>-1.039896922</v>
      </c>
      <c r="D53" s="11"/>
      <c r="F53" s="11" t="s">
        <v>635</v>
      </c>
      <c r="G53" s="11">
        <f>IF(G49=G47,1E-14,LOG(G48/G50)/LOG(G47/G49))</f>
        <v>-0.8743843579</v>
      </c>
      <c r="H53" s="11"/>
      <c r="J53" s="11" t="s">
        <v>635</v>
      </c>
      <c r="K53" s="11">
        <f>IF(K49=K47,1E-14,LOG(K48/K50)/LOG(K47/K49))</f>
        <v>-0.515998959</v>
      </c>
      <c r="L53" s="11"/>
      <c r="N53" s="11" t="s">
        <v>635</v>
      </c>
      <c r="O53" s="11">
        <f>IF(O49=O47,1E-14,LOG(O48/O50)/LOG(O47/O49))</f>
        <v>-1.114645836</v>
      </c>
      <c r="P53" s="11"/>
      <c r="R53" s="11" t="s">
        <v>635</v>
      </c>
      <c r="S53" s="11">
        <f>IF(S49=S47,1E-14,LOG(S48/S50)/LOG(S47/S49))</f>
        <v>-0.5999864077</v>
      </c>
      <c r="T53" s="11"/>
      <c r="V53" s="11" t="s">
        <v>635</v>
      </c>
      <c r="W53" s="11">
        <f>IF(W49=W47,1E-14,LOG(W48/W50)/LOG(W47/W49))</f>
        <v>-0.6840002617</v>
      </c>
      <c r="X53" s="11"/>
      <c r="Z53" s="11" t="s">
        <v>635</v>
      </c>
      <c r="AA53" s="11">
        <f>IF(AA49=AA47,1E-14,LOG(AA48/AA50)/LOG(AA47/AA49))</f>
        <v>-0.9510309805</v>
      </c>
      <c r="AB53" s="11"/>
      <c r="AD53" s="11" t="s">
        <v>635</v>
      </c>
      <c r="AE53" s="11">
        <f>IF(AE49=AE47,1E-14,LOG(AE48/AE50)/LOG(AE47/AE49))</f>
        <v>-0.5694758987</v>
      </c>
      <c r="AF53" s="11"/>
      <c r="AH53" s="11" t="s">
        <v>635</v>
      </c>
      <c r="AI53" s="11">
        <f>IF(AI49=AI47,1E-14,LOG(AI48/AI50)/LOG(AI47/AI49))</f>
        <v>-1.000685814</v>
      </c>
      <c r="AJ53" s="11"/>
      <c r="AL53" s="11" t="s">
        <v>635</v>
      </c>
      <c r="AM53" s="11">
        <f>IF(AM49=AM47,1E-14,LOG(AM48/AM50)/LOG(AM47/AM49))</f>
        <v>-0.9244140748</v>
      </c>
      <c r="AN53" s="11"/>
    </row>
    <row r="54" ht="12.0" customHeight="1">
      <c r="B54" s="11"/>
      <c r="C54" s="11"/>
      <c r="D54" s="11"/>
      <c r="F54" s="11"/>
      <c r="G54" s="11"/>
      <c r="H54" s="11"/>
      <c r="J54" s="11"/>
      <c r="K54" s="11"/>
      <c r="L54" s="11"/>
      <c r="N54" s="11"/>
      <c r="O54" s="11"/>
      <c r="P54" s="11"/>
      <c r="R54" s="11"/>
      <c r="S54" s="11"/>
      <c r="T54" s="11"/>
      <c r="V54" s="11"/>
      <c r="W54" s="11"/>
      <c r="X54" s="11"/>
      <c r="Z54" s="11"/>
      <c r="AA54" s="11"/>
      <c r="AB54" s="11"/>
      <c r="AD54" s="11"/>
      <c r="AE54" s="11"/>
      <c r="AF54" s="11"/>
      <c r="AH54" s="11"/>
      <c r="AI54" s="11"/>
      <c r="AJ54" s="11"/>
      <c r="AL54" s="11"/>
      <c r="AM54" s="11"/>
      <c r="AN54" s="11"/>
    </row>
    <row r="55" ht="12.0" customHeight="1">
      <c r="B55" s="11" t="s">
        <v>636</v>
      </c>
      <c r="C55" s="11">
        <f>C52*C45^C53</f>
        <v>35.52333391</v>
      </c>
      <c r="D55" s="11" t="s">
        <v>58</v>
      </c>
      <c r="F55" s="11" t="s">
        <v>636</v>
      </c>
      <c r="G55" s="11">
        <f>G52*G45^G53</f>
        <v>17.7750734</v>
      </c>
      <c r="H55" s="11" t="s">
        <v>58</v>
      </c>
      <c r="J55" s="11" t="s">
        <v>636</v>
      </c>
      <c r="K55" s="11">
        <f>K52*K45^K53</f>
        <v>9.110675129</v>
      </c>
      <c r="L55" s="11" t="s">
        <v>58</v>
      </c>
      <c r="N55" s="11" t="s">
        <v>636</v>
      </c>
      <c r="O55" s="11">
        <f>O52*O45^O53</f>
        <v>12.01245345</v>
      </c>
      <c r="P55" s="11" t="s">
        <v>58</v>
      </c>
      <c r="R55" s="11" t="s">
        <v>636</v>
      </c>
      <c r="S55" s="11">
        <f>S52*S45^S53</f>
        <v>9.727372398</v>
      </c>
      <c r="T55" s="11" t="s">
        <v>58</v>
      </c>
      <c r="V55" s="11" t="s">
        <v>636</v>
      </c>
      <c r="W55" s="11">
        <f>W52*W45^W53</f>
        <v>5.121495272</v>
      </c>
      <c r="X55" s="11" t="s">
        <v>58</v>
      </c>
      <c r="Z55" s="11" t="s">
        <v>636</v>
      </c>
      <c r="AA55" s="11">
        <f>AA52*AA45^AA53</f>
        <v>4.089535645</v>
      </c>
      <c r="AB55" s="11" t="s">
        <v>58</v>
      </c>
      <c r="AD55" s="11" t="s">
        <v>636</v>
      </c>
      <c r="AE55" s="11">
        <f>AE52*AE45^AE53</f>
        <v>4.612235404</v>
      </c>
      <c r="AF55" s="11" t="s">
        <v>58</v>
      </c>
      <c r="AH55" s="11" t="s">
        <v>636</v>
      </c>
      <c r="AI55" s="11">
        <f>AI52*AI45^AI53</f>
        <v>1.346636086</v>
      </c>
      <c r="AJ55" s="11" t="s">
        <v>58</v>
      </c>
      <c r="AL55" s="11" t="s">
        <v>636</v>
      </c>
      <c r="AM55" s="11">
        <f>AM52*AM45^AM53</f>
        <v>1.719873322</v>
      </c>
      <c r="AN55" s="11" t="s">
        <v>58</v>
      </c>
    </row>
    <row r="56" ht="12.0" customHeight="1">
      <c r="B56" s="11" t="s">
        <v>637</v>
      </c>
      <c r="C56" s="11">
        <f>C55*VINMAX</f>
        <v>1065.700017</v>
      </c>
      <c r="D56" s="11" t="s">
        <v>88</v>
      </c>
      <c r="F56" s="11" t="s">
        <v>637</v>
      </c>
      <c r="G56" s="11">
        <f>G55*VINMAX</f>
        <v>533.2522021</v>
      </c>
      <c r="H56" s="11" t="s">
        <v>88</v>
      </c>
      <c r="J56" s="11" t="s">
        <v>637</v>
      </c>
      <c r="K56" s="11">
        <f>K55*VINMAX</f>
        <v>273.3202539</v>
      </c>
      <c r="L56" s="11" t="s">
        <v>88</v>
      </c>
      <c r="N56" s="11" t="s">
        <v>637</v>
      </c>
      <c r="O56" s="11">
        <f>O55*VINMAX</f>
        <v>360.3736035</v>
      </c>
      <c r="P56" s="11" t="s">
        <v>88</v>
      </c>
      <c r="R56" s="11" t="s">
        <v>637</v>
      </c>
      <c r="S56" s="11">
        <f>S55*VINMAX</f>
        <v>291.8211719</v>
      </c>
      <c r="T56" s="11" t="s">
        <v>88</v>
      </c>
      <c r="V56" s="11" t="s">
        <v>637</v>
      </c>
      <c r="W56" s="11">
        <f>W55*VINMAX</f>
        <v>153.6448582</v>
      </c>
      <c r="X56" s="11" t="s">
        <v>88</v>
      </c>
      <c r="Z56" s="11" t="s">
        <v>637</v>
      </c>
      <c r="AA56" s="11">
        <f>AA55*VINMAX</f>
        <v>122.6860694</v>
      </c>
      <c r="AB56" s="11" t="s">
        <v>88</v>
      </c>
      <c r="AD56" s="11" t="s">
        <v>637</v>
      </c>
      <c r="AE56" s="11">
        <f>AE55*VINMAX</f>
        <v>138.3670621</v>
      </c>
      <c r="AF56" s="11" t="s">
        <v>88</v>
      </c>
      <c r="AH56" s="11" t="s">
        <v>637</v>
      </c>
      <c r="AI56" s="11">
        <f>AI55*VINMAX</f>
        <v>40.39908259</v>
      </c>
      <c r="AJ56" s="11" t="s">
        <v>88</v>
      </c>
      <c r="AL56" s="11" t="s">
        <v>637</v>
      </c>
      <c r="AM56" s="11">
        <f>AM55*VINMAX</f>
        <v>51.59619967</v>
      </c>
      <c r="AN56" s="11" t="s">
        <v>88</v>
      </c>
    </row>
    <row r="57" ht="12.0" customHeight="1">
      <c r="B57" s="11"/>
      <c r="C57" s="11"/>
      <c r="D57" s="11"/>
      <c r="F57" s="11"/>
      <c r="G57" s="11"/>
      <c r="H57" s="11"/>
      <c r="J57" s="11"/>
      <c r="K57" s="11"/>
      <c r="L57" s="11"/>
      <c r="N57" s="11"/>
      <c r="O57" s="11"/>
      <c r="P57" s="11"/>
      <c r="R57" s="11"/>
      <c r="S57" s="11"/>
      <c r="T57" s="11"/>
      <c r="V57" s="11"/>
      <c r="W57" s="11"/>
      <c r="X57" s="11"/>
      <c r="Z57" s="11"/>
      <c r="AA57" s="11"/>
      <c r="AB57" s="11"/>
      <c r="AD57" s="11"/>
      <c r="AE57" s="11"/>
      <c r="AF57" s="11"/>
      <c r="AH57" s="11"/>
      <c r="AI57" s="11"/>
      <c r="AJ57" s="11"/>
      <c r="AL57" s="11"/>
      <c r="AM57" s="11"/>
      <c r="AN57" s="11"/>
    </row>
    <row r="58" ht="12.0" customHeight="1">
      <c r="B58" s="11" t="s">
        <v>638</v>
      </c>
      <c r="C58" s="11">
        <f>(C6-C34)/(C6-25)</f>
        <v>0.5557632</v>
      </c>
      <c r="D58" s="11"/>
      <c r="F58" s="11" t="s">
        <v>638</v>
      </c>
      <c r="G58" s="11">
        <f>(G6-G34)/(G6-25)</f>
        <v>0.5312384</v>
      </c>
      <c r="H58" s="11"/>
      <c r="J58" s="11" t="s">
        <v>638</v>
      </c>
      <c r="K58" s="11">
        <f>(K6-K34)/(K6-25)</f>
        <v>0.40033024</v>
      </c>
      <c r="L58" s="11"/>
      <c r="N58" s="11" t="s">
        <v>638</v>
      </c>
      <c r="O58" s="11">
        <f>(O6-O34)/(O6-25)</f>
        <v>0.571328</v>
      </c>
      <c r="P58" s="11"/>
      <c r="R58" s="11" t="s">
        <v>638</v>
      </c>
      <c r="S58" s="11">
        <f>(S6-S34)/(S6-25)</f>
        <v>0.48166144</v>
      </c>
      <c r="T58" s="11"/>
      <c r="V58" s="11" t="s">
        <v>638</v>
      </c>
      <c r="W58" s="11">
        <f>(W6-W34)/(W6-25)</f>
        <v>0.4622464</v>
      </c>
      <c r="X58" s="11"/>
      <c r="Z58" s="11" t="s">
        <v>638</v>
      </c>
      <c r="AA58" s="11">
        <f>(AA6-AA34)/(AA6-25)</f>
        <v>0.4303552</v>
      </c>
      <c r="AB58" s="11"/>
      <c r="AD58" s="11" t="s">
        <v>638</v>
      </c>
      <c r="AE58" s="11">
        <f>(AE6-AE34)/(AE6-25)</f>
        <v>0.43128448</v>
      </c>
      <c r="AF58" s="11"/>
      <c r="AH58" s="11" t="s">
        <v>638</v>
      </c>
      <c r="AI58" s="11">
        <f>(AI6-AI34)/(AI6-25)</f>
        <v>0.4305088</v>
      </c>
      <c r="AJ58" s="11"/>
      <c r="AL58" s="11" t="s">
        <v>638</v>
      </c>
      <c r="AM58" s="11">
        <f>(AM6-AM34)/(AM6-25)</f>
        <v>0.43504</v>
      </c>
      <c r="AN58" s="11"/>
    </row>
    <row r="59" ht="12.0" customHeight="1">
      <c r="B59" s="11" t="s">
        <v>639</v>
      </c>
      <c r="C59" s="11">
        <f>C58*C56</f>
        <v>592.2768518</v>
      </c>
      <c r="D59" s="11" t="s">
        <v>88</v>
      </c>
      <c r="F59" s="11" t="s">
        <v>639</v>
      </c>
      <c r="G59" s="11">
        <f>G58*G56</f>
        <v>283.2840466</v>
      </c>
      <c r="H59" s="11" t="s">
        <v>88</v>
      </c>
      <c r="J59" s="11" t="s">
        <v>639</v>
      </c>
      <c r="K59" s="11">
        <f>K58*K56</f>
        <v>109.4183628</v>
      </c>
      <c r="L59" s="11" t="s">
        <v>88</v>
      </c>
      <c r="N59" s="11" t="s">
        <v>639</v>
      </c>
      <c r="O59" s="11">
        <f>O58*O56</f>
        <v>205.8915302</v>
      </c>
      <c r="P59" s="11" t="s">
        <v>88</v>
      </c>
      <c r="R59" s="11" t="s">
        <v>639</v>
      </c>
      <c r="S59" s="11">
        <f>S58*S56</f>
        <v>140.5590059</v>
      </c>
      <c r="T59" s="11" t="s">
        <v>88</v>
      </c>
      <c r="V59" s="11" t="s">
        <v>639</v>
      </c>
      <c r="W59" s="11">
        <f>W58*W56</f>
        <v>71.02178257</v>
      </c>
      <c r="X59" s="11" t="s">
        <v>88</v>
      </c>
      <c r="Z59" s="11" t="s">
        <v>639</v>
      </c>
      <c r="AA59" s="11">
        <f>AA58*AA56</f>
        <v>52.79858792</v>
      </c>
      <c r="AB59" s="11" t="s">
        <v>88</v>
      </c>
      <c r="AD59" s="11" t="s">
        <v>639</v>
      </c>
      <c r="AE59" s="11">
        <f>AE58*AE56</f>
        <v>59.67556643</v>
      </c>
      <c r="AF59" s="11" t="s">
        <v>88</v>
      </c>
      <c r="AH59" s="11" t="s">
        <v>639</v>
      </c>
      <c r="AI59" s="11">
        <f>AI58*AI56</f>
        <v>17.39216057</v>
      </c>
      <c r="AJ59" s="11" t="s">
        <v>88</v>
      </c>
      <c r="AL59" s="11" t="s">
        <v>639</v>
      </c>
      <c r="AM59" s="11">
        <f>AM58*AM56</f>
        <v>22.44641071</v>
      </c>
      <c r="AN59" s="11" t="s">
        <v>88</v>
      </c>
    </row>
    <row r="60" ht="12.0" customHeight="1">
      <c r="B60" s="11"/>
      <c r="C60" s="11"/>
      <c r="D60" s="11"/>
      <c r="F60" s="11"/>
      <c r="G60" s="11"/>
      <c r="H60" s="11"/>
      <c r="J60" s="11"/>
      <c r="K60" s="11"/>
      <c r="L60" s="11"/>
      <c r="N60" s="11"/>
      <c r="O60" s="11"/>
      <c r="P60" s="11"/>
      <c r="R60" s="11"/>
      <c r="S60" s="11"/>
      <c r="T60" s="11"/>
      <c r="V60" s="11"/>
      <c r="W60" s="11"/>
      <c r="X60" s="11"/>
      <c r="Z60" s="11"/>
      <c r="AA60" s="11"/>
      <c r="AB60" s="11"/>
      <c r="AD60" s="11"/>
      <c r="AE60" s="11"/>
      <c r="AF60" s="11"/>
      <c r="AH60" s="11"/>
      <c r="AI60" s="11"/>
      <c r="AJ60" s="11"/>
      <c r="AL60" s="11"/>
      <c r="AM60" s="11"/>
      <c r="AN60" s="11"/>
    </row>
    <row r="61" ht="12.0" customHeight="1">
      <c r="B61" s="11" t="s">
        <v>640</v>
      </c>
      <c r="C61" s="11">
        <f>C59/'Design Calculator'!F52</f>
        <v>8.413023464</v>
      </c>
      <c r="D61" s="11"/>
      <c r="F61" s="11" t="s">
        <v>640</v>
      </c>
      <c r="G61" s="11">
        <f>G59/'Design Calculator'!F52</f>
        <v>4.023921117</v>
      </c>
      <c r="H61" s="11"/>
      <c r="J61" s="11" t="s">
        <v>640</v>
      </c>
      <c r="K61" s="11">
        <f>K59/'Design Calculator'!F52</f>
        <v>1.554238108</v>
      </c>
      <c r="L61" s="11"/>
      <c r="N61" s="11" t="s">
        <v>640</v>
      </c>
      <c r="O61" s="11">
        <f>O59/'Design Calculator'!F52</f>
        <v>2.924595599</v>
      </c>
      <c r="P61" s="11"/>
      <c r="R61" s="11" t="s">
        <v>640</v>
      </c>
      <c r="S61" s="11">
        <f>S59/'Design Calculator'!F52</f>
        <v>1.996576788</v>
      </c>
      <c r="T61" s="11"/>
      <c r="V61" s="11" t="s">
        <v>640</v>
      </c>
      <c r="W61" s="11">
        <f>W59/'Design Calculator'!F52</f>
        <v>1.008832139</v>
      </c>
      <c r="X61" s="11"/>
      <c r="Z61" s="11" t="s">
        <v>640</v>
      </c>
      <c r="AA61" s="11">
        <f>AA59/'Design Calculator'!F52</f>
        <v>0.749979942</v>
      </c>
      <c r="AB61" s="11"/>
      <c r="AD61" s="11" t="s">
        <v>640</v>
      </c>
      <c r="AE61" s="11">
        <f>AE59/'Design Calculator'!F52</f>
        <v>0.8476642959</v>
      </c>
      <c r="AF61" s="11"/>
      <c r="AH61" s="11" t="s">
        <v>640</v>
      </c>
      <c r="AI61" s="11">
        <f>AI59/'Design Calculator'!F52</f>
        <v>0.2470477353</v>
      </c>
      <c r="AJ61" s="11"/>
      <c r="AL61" s="11" t="s">
        <v>640</v>
      </c>
      <c r="AM61" s="11">
        <f>AM59/'Design Calculator'!F52</f>
        <v>0.3188410612</v>
      </c>
      <c r="AN61" s="11"/>
    </row>
    <row r="62" ht="12.0" customHeight="1">
      <c r="B62" s="11"/>
      <c r="C62" s="11"/>
      <c r="D62" s="11"/>
      <c r="F62" s="11"/>
      <c r="G62" s="11"/>
      <c r="H62" s="11"/>
      <c r="J62" s="11"/>
      <c r="K62" s="11"/>
      <c r="L62" s="11"/>
      <c r="N62" s="11"/>
      <c r="O62" s="11"/>
      <c r="P62" s="11"/>
      <c r="R62" s="11"/>
      <c r="S62" s="11"/>
      <c r="T62" s="11"/>
      <c r="V62" s="11"/>
      <c r="W62" s="11"/>
      <c r="X62" s="11"/>
      <c r="Z62" s="11"/>
      <c r="AA62" s="11"/>
      <c r="AB62" s="11"/>
      <c r="AD62" s="11"/>
      <c r="AE62" s="11"/>
      <c r="AF62" s="11"/>
      <c r="AH62" s="11"/>
      <c r="AI62" s="11"/>
      <c r="AJ62" s="11"/>
      <c r="AL62" s="11"/>
      <c r="AM62" s="11"/>
      <c r="AN62" s="11"/>
    </row>
    <row r="63" ht="12.0" customHeight="1">
      <c r="B63" s="11" t="s">
        <v>641</v>
      </c>
      <c r="C63" s="11">
        <f>IF(C61&gt;1.3,1,0)</f>
        <v>1</v>
      </c>
      <c r="D63" s="11"/>
      <c r="F63" s="11" t="s">
        <v>641</v>
      </c>
      <c r="G63" s="11">
        <f>IF(G61&gt;1.3,1,0)</f>
        <v>1</v>
      </c>
      <c r="H63" s="11"/>
      <c r="J63" s="11" t="s">
        <v>641</v>
      </c>
      <c r="K63" s="11">
        <f>IF(K61&gt;1.3,1,0)</f>
        <v>1</v>
      </c>
      <c r="L63" s="11"/>
      <c r="N63" s="11" t="s">
        <v>641</v>
      </c>
      <c r="O63" s="11">
        <f>IF(O61&gt;1.3,1,0)</f>
        <v>1</v>
      </c>
      <c r="P63" s="11"/>
      <c r="R63" s="11" t="s">
        <v>641</v>
      </c>
      <c r="S63" s="11">
        <f>IF(S61&gt;1.3,1,0)</f>
        <v>1</v>
      </c>
      <c r="T63" s="11"/>
      <c r="V63" s="11" t="s">
        <v>641</v>
      </c>
      <c r="W63" s="11">
        <f>IF(W61&gt;1.3,1,0)</f>
        <v>0</v>
      </c>
      <c r="X63" s="11"/>
      <c r="Z63" s="11" t="s">
        <v>641</v>
      </c>
      <c r="AA63" s="11">
        <f>IF(AA61&gt;1.3,1,0)</f>
        <v>0</v>
      </c>
      <c r="AB63" s="11"/>
      <c r="AD63" s="11" t="s">
        <v>641</v>
      </c>
      <c r="AE63" s="11">
        <f>IF(AE61&gt;1.3,1,0)</f>
        <v>0</v>
      </c>
      <c r="AF63" s="11"/>
      <c r="AH63" s="11" t="s">
        <v>641</v>
      </c>
      <c r="AI63" s="11">
        <f>IF(AI61&gt;1.3,1,0)</f>
        <v>0</v>
      </c>
      <c r="AJ63" s="11"/>
      <c r="AL63" s="11" t="s">
        <v>641</v>
      </c>
      <c r="AM63" s="11">
        <f>IF(AM61&gt;1.3,1,0)</f>
        <v>0</v>
      </c>
      <c r="AN63" s="11"/>
    </row>
    <row r="64" ht="12.0" customHeight="1">
      <c r="B64" s="11"/>
      <c r="C64" s="11">
        <f>COLUMN()</f>
        <v>3</v>
      </c>
      <c r="D64" s="11"/>
      <c r="F64" s="11"/>
      <c r="G64" s="11">
        <f>COLUMN()</f>
        <v>7</v>
      </c>
      <c r="H64" s="11"/>
      <c r="J64" s="11"/>
      <c r="K64" s="11">
        <f>COLUMN()</f>
        <v>11</v>
      </c>
      <c r="L64" s="11"/>
      <c r="N64" s="11"/>
      <c r="O64" s="11">
        <f>COLUMN()</f>
        <v>15</v>
      </c>
      <c r="P64" s="11"/>
      <c r="R64" s="11"/>
      <c r="S64" s="11">
        <f>COLUMN()</f>
        <v>19</v>
      </c>
      <c r="T64" s="11"/>
      <c r="V64" s="11"/>
      <c r="W64" s="11">
        <f>COLUMN()</f>
        <v>23</v>
      </c>
      <c r="X64" s="11"/>
      <c r="Z64" s="11"/>
      <c r="AA64" s="11">
        <f>COLUMN()</f>
        <v>27</v>
      </c>
      <c r="AB64" s="11"/>
      <c r="AD64" s="11"/>
      <c r="AE64" s="11">
        <f>COLUMN()</f>
        <v>31</v>
      </c>
      <c r="AF64" s="11"/>
      <c r="AH64" s="11"/>
      <c r="AI64" s="11">
        <f>COLUMN()</f>
        <v>35</v>
      </c>
      <c r="AJ64" s="11"/>
      <c r="AL64" s="11"/>
      <c r="AM64" s="11">
        <f>COLUMN()</f>
        <v>39</v>
      </c>
      <c r="AN64" s="11"/>
    </row>
    <row r="65" ht="12.0" customHeight="1"/>
    <row r="66" ht="12.0" customHeight="1"/>
    <row r="67" ht="12.0" customHeight="1">
      <c r="B67" s="11" t="s">
        <v>345</v>
      </c>
      <c r="C67" s="108" t="str">
        <f>LEFT('Design Calculator'!F54,FIND(" ",'Design Calculator'!F54)-1)</f>
        <v>CSD18536KTT</v>
      </c>
      <c r="D67" s="11"/>
      <c r="F67" s="11" t="s">
        <v>346</v>
      </c>
      <c r="G67" s="108" t="str">
        <f>LEFT('Design Calculator'!G54,FIND(" ",'Design Calculator'!G54)-1)</f>
        <v>CSD18540Q5B</v>
      </c>
      <c r="H67" s="11"/>
    </row>
    <row r="68" ht="12.0" customHeight="1">
      <c r="B68" s="11" t="s">
        <v>642</v>
      </c>
      <c r="C68" s="108" t="str">
        <f>MATCH(SFET48_1,B4:AM4,0)+2</f>
        <v>#N/A</v>
      </c>
      <c r="D68" s="11"/>
      <c r="F68" s="11" t="s">
        <v>642</v>
      </c>
      <c r="G68" s="108" t="str">
        <f>MATCH(SFET48_2,B4:AM4,0)+2</f>
        <v>#N/A</v>
      </c>
      <c r="H68" s="11"/>
    </row>
    <row r="69" ht="12.0" customHeight="1">
      <c r="B69" s="11"/>
      <c r="D69" s="11"/>
      <c r="F69" s="11"/>
      <c r="H69" s="11"/>
    </row>
    <row r="70" ht="12.0" customHeight="1">
      <c r="B70" s="11">
        <v>0.01</v>
      </c>
      <c r="C70" s="108" t="str">
        <f>INDIRECT(ADDRESS(39,C68))</f>
        <v>#N/A</v>
      </c>
      <c r="D70" s="11" t="s">
        <v>58</v>
      </c>
      <c r="F70" s="11">
        <v>0.01</v>
      </c>
      <c r="G70" s="11" t="str">
        <f>INDIRECT(ADDRESS(39,G68))</f>
        <v>#N/A</v>
      </c>
      <c r="H70" s="11" t="s">
        <v>58</v>
      </c>
    </row>
    <row r="71" ht="12.0" customHeight="1">
      <c r="B71" s="11">
        <v>0.1</v>
      </c>
      <c r="C71" s="108" t="str">
        <f>INDIRECT(ADDRESS(40,C68))</f>
        <v>#N/A</v>
      </c>
      <c r="D71" s="11" t="s">
        <v>58</v>
      </c>
      <c r="F71" s="11">
        <v>0.1</v>
      </c>
      <c r="G71" s="11" t="str">
        <f>INDIRECT(ADDRESS(40,G68))</f>
        <v>#N/A</v>
      </c>
      <c r="H71" s="11" t="s">
        <v>58</v>
      </c>
    </row>
    <row r="72" ht="12.0" customHeight="1">
      <c r="B72" s="11">
        <v>1.0</v>
      </c>
      <c r="C72" s="108" t="str">
        <f>INDIRECT(ADDRESS(41,C68))</f>
        <v>#N/A</v>
      </c>
      <c r="D72" s="11" t="s">
        <v>58</v>
      </c>
      <c r="F72" s="11">
        <v>1.0</v>
      </c>
      <c r="G72" s="11" t="str">
        <f>INDIRECT(ADDRESS(41,G68))</f>
        <v>#N/A</v>
      </c>
      <c r="H72" s="11" t="s">
        <v>58</v>
      </c>
    </row>
    <row r="73" ht="12.0" customHeight="1">
      <c r="B73" s="11">
        <v>10.0</v>
      </c>
      <c r="C73" s="108" t="str">
        <f>INDIRECT(ADDRESS(42,C68))</f>
        <v>#N/A</v>
      </c>
      <c r="D73" s="11" t="s">
        <v>58</v>
      </c>
      <c r="F73" s="11">
        <v>10.0</v>
      </c>
      <c r="G73" s="11" t="str">
        <f>INDIRECT(ADDRESS(42,G68))</f>
        <v>#N/A</v>
      </c>
      <c r="H73" s="11" t="s">
        <v>58</v>
      </c>
    </row>
    <row r="74" ht="12.0" customHeight="1">
      <c r="B74" s="11">
        <v>100.0</v>
      </c>
      <c r="C74" s="108" t="str">
        <f>INDIRECT(ADDRESS(43,C68))</f>
        <v>#N/A</v>
      </c>
      <c r="D74" s="11" t="s">
        <v>58</v>
      </c>
      <c r="F74" s="11">
        <v>100.0</v>
      </c>
      <c r="G74" s="11" t="str">
        <f>INDIRECT(ADDRESS(43,G68))</f>
        <v>#N/A</v>
      </c>
      <c r="H74" s="11" t="s">
        <v>58</v>
      </c>
    </row>
    <row r="75" ht="12.0" customHeight="1">
      <c r="B75" s="11"/>
      <c r="D75" s="11"/>
      <c r="F75" s="11"/>
      <c r="G75" s="11"/>
      <c r="H75" s="11"/>
    </row>
    <row r="76" ht="12.0" customHeight="1">
      <c r="B76" s="11" t="s">
        <v>643</v>
      </c>
      <c r="C76" s="11" t="str">
        <f>INDIRECT(ADDRESS(33,C68))</f>
        <v>#N/A</v>
      </c>
      <c r="D76" s="11" t="s">
        <v>88</v>
      </c>
      <c r="F76" s="11" t="s">
        <v>643</v>
      </c>
      <c r="G76" s="11" t="str">
        <f>INDIRECT(ADDRESS(33,G68))</f>
        <v>#N/A</v>
      </c>
      <c r="H76" s="11" t="s">
        <v>88</v>
      </c>
    </row>
    <row r="77" ht="12.0" customHeight="1">
      <c r="B77" s="11" t="s">
        <v>603</v>
      </c>
      <c r="C77" s="11" t="str">
        <f>INDIRECT(ADDRESS(32,C68))</f>
        <v>#N/A</v>
      </c>
      <c r="D77" s="11"/>
      <c r="F77" s="11" t="s">
        <v>603</v>
      </c>
      <c r="G77" s="11" t="str">
        <f>INDIRECT(ADDRESS(32,G68))</f>
        <v>#N/A</v>
      </c>
      <c r="H77" s="11"/>
    </row>
    <row r="78" ht="12.0" customHeight="1">
      <c r="B78" s="11" t="s">
        <v>267</v>
      </c>
      <c r="C78" s="11" t="str">
        <f>INDIRECT(ADDRESS(34,C68))</f>
        <v>#N/A</v>
      </c>
      <c r="D78" s="11" t="s">
        <v>747</v>
      </c>
      <c r="F78" s="11" t="s">
        <v>267</v>
      </c>
      <c r="G78" s="11" t="str">
        <f>INDIRECT(ADDRESS(34,G68))</f>
        <v>#N/A</v>
      </c>
      <c r="H78" s="11" t="s">
        <v>748</v>
      </c>
    </row>
    <row r="79" ht="12.0" customHeight="1">
      <c r="B79" s="11" t="s">
        <v>333</v>
      </c>
      <c r="C79" s="11" t="str">
        <f>INDIRECT(ADDRESS(6,C68))</f>
        <v>#N/A</v>
      </c>
      <c r="D79" s="11" t="s">
        <v>749</v>
      </c>
      <c r="F79" s="11" t="s">
        <v>333</v>
      </c>
      <c r="G79" s="11" t="str">
        <f>INDIRECT(ADDRESS(6,G68))</f>
        <v>#N/A</v>
      </c>
      <c r="H79" s="11" t="s">
        <v>750</v>
      </c>
    </row>
    <row r="80" ht="12.0" customHeight="1">
      <c r="B80" s="11" t="s">
        <v>650</v>
      </c>
      <c r="C80" s="11" t="str">
        <f>INDIRECT(ADDRESS(7,C68))*INDIRECT(ADDRESS(29,C68))</f>
        <v>#N/A</v>
      </c>
      <c r="D80" s="11" t="s">
        <v>751</v>
      </c>
      <c r="F80" s="11" t="s">
        <v>650</v>
      </c>
      <c r="G80" s="11" t="str">
        <f>INDIRECT(ADDRESS(7,G68))*INDIRECT(ADDRESS(29,G68))</f>
        <v>#N/A</v>
      </c>
      <c r="H80" s="11" t="s">
        <v>752</v>
      </c>
    </row>
    <row r="81" ht="12.0" customHeight="1">
      <c r="B81" s="11" t="s">
        <v>640</v>
      </c>
      <c r="C81" s="11" t="str">
        <f>INDIRECT(ADDRESS(61,C68))</f>
        <v>#N/A</v>
      </c>
      <c r="D81" s="11"/>
      <c r="F81" s="11" t="s">
        <v>640</v>
      </c>
      <c r="G81" s="11" t="str">
        <f>INDIRECT(ADDRESS(61,G68))</f>
        <v>#N/A</v>
      </c>
      <c r="H81" s="11"/>
    </row>
    <row r="82" ht="12.0" customHeight="1">
      <c r="B82" s="11" t="s">
        <v>654</v>
      </c>
      <c r="C82" s="282" t="str">
        <f>HYPERLINK(INDIRECT(ADDRESS(5,C68)))</f>
        <v>#N/A</v>
      </c>
      <c r="D82" s="11"/>
      <c r="F82" s="11" t="s">
        <v>654</v>
      </c>
      <c r="G82" s="282" t="str">
        <f>HYPERLINK(INDIRECT(ADDRESS(5,G68)))</f>
        <v>#N/A</v>
      </c>
      <c r="H82" s="11"/>
    </row>
    <row r="83" ht="12.0" customHeight="1">
      <c r="B83" s="11" t="s">
        <v>655</v>
      </c>
      <c r="C83" s="282" t="str">
        <f>HYPERLINK(INDIRECT(ADDRESS(30,C68)))</f>
        <v>#N/A</v>
      </c>
      <c r="D83" s="11"/>
      <c r="F83" s="11" t="s">
        <v>655</v>
      </c>
      <c r="G83" s="282" t="str">
        <f>HYPERLINK(INDIRECT(ADDRESS(30,G68)))</f>
        <v>#N/A</v>
      </c>
      <c r="H83" s="11"/>
    </row>
    <row r="84" ht="12.0" customHeight="1">
      <c r="B84" s="11" t="s">
        <v>626</v>
      </c>
      <c r="C84" s="11" t="str">
        <f>INDIRECT(ADDRESS(35,C68))</f>
        <v>#N/A</v>
      </c>
      <c r="D84" s="11" t="s">
        <v>656</v>
      </c>
      <c r="F84" s="11" t="s">
        <v>626</v>
      </c>
      <c r="G84" s="11" t="str">
        <f>INDIRECT(ADDRESS(35,G68))</f>
        <v>#N/A</v>
      </c>
      <c r="H84" s="11" t="s">
        <v>656</v>
      </c>
    </row>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conditionalFormatting sqref="B27:B28">
    <cfRule type="expression" dxfId="1" priority="1">
      <formula>#REF!="No"</formula>
    </cfRule>
  </conditionalFormatting>
  <conditionalFormatting sqref="B27:B28">
    <cfRule type="expression" dxfId="1" priority="2">
      <formula>#REF!="No"</formula>
    </cfRule>
  </conditionalFormatting>
  <conditionalFormatting sqref="F27:F28">
    <cfRule type="expression" dxfId="1" priority="3">
      <formula>#REF!="No"</formula>
    </cfRule>
  </conditionalFormatting>
  <conditionalFormatting sqref="F27:F28">
    <cfRule type="expression" dxfId="1" priority="4">
      <formula>#REF!="No"</formula>
    </cfRule>
  </conditionalFormatting>
  <conditionalFormatting sqref="J27:J28">
    <cfRule type="expression" dxfId="1" priority="5">
      <formula>#REF!="No"</formula>
    </cfRule>
  </conditionalFormatting>
  <conditionalFormatting sqref="J27:J28">
    <cfRule type="expression" dxfId="1" priority="6">
      <formula>#REF!="No"</formula>
    </cfRule>
  </conditionalFormatting>
  <conditionalFormatting sqref="N27:N28">
    <cfRule type="expression" dxfId="1" priority="7">
      <formula>#REF!="No"</formula>
    </cfRule>
  </conditionalFormatting>
  <conditionalFormatting sqref="N27:N28">
    <cfRule type="expression" dxfId="1" priority="8">
      <formula>#REF!="No"</formula>
    </cfRule>
  </conditionalFormatting>
  <conditionalFormatting sqref="R27:R28">
    <cfRule type="expression" dxfId="1" priority="9">
      <formula>#REF!="No"</formula>
    </cfRule>
  </conditionalFormatting>
  <conditionalFormatting sqref="R27:R28">
    <cfRule type="expression" dxfId="1" priority="10">
      <formula>#REF!="No"</formula>
    </cfRule>
  </conditionalFormatting>
  <conditionalFormatting sqref="V27:V28">
    <cfRule type="expression" dxfId="1" priority="11">
      <formula>#REF!="No"</formula>
    </cfRule>
  </conditionalFormatting>
  <conditionalFormatting sqref="V27:V28">
    <cfRule type="expression" dxfId="1" priority="12">
      <formula>#REF!="No"</formula>
    </cfRule>
  </conditionalFormatting>
  <conditionalFormatting sqref="Z27:Z28">
    <cfRule type="expression" dxfId="1" priority="13">
      <formula>#REF!="No"</formula>
    </cfRule>
  </conditionalFormatting>
  <conditionalFormatting sqref="Z27:Z28">
    <cfRule type="expression" dxfId="1" priority="14">
      <formula>#REF!="No"</formula>
    </cfRule>
  </conditionalFormatting>
  <conditionalFormatting sqref="AD27:AD28">
    <cfRule type="expression" dxfId="1" priority="15">
      <formula>#REF!="No"</formula>
    </cfRule>
  </conditionalFormatting>
  <conditionalFormatting sqref="AD27:AD28">
    <cfRule type="expression" dxfId="1" priority="16">
      <formula>#REF!="No"</formula>
    </cfRule>
  </conditionalFormatting>
  <conditionalFormatting sqref="AH27:AH28">
    <cfRule type="expression" dxfId="1" priority="17">
      <formula>#REF!="No"</formula>
    </cfRule>
  </conditionalFormatting>
  <conditionalFormatting sqref="AH27:AH28">
    <cfRule type="expression" dxfId="1" priority="18">
      <formula>#REF!="No"</formula>
    </cfRule>
  </conditionalFormatting>
  <conditionalFormatting sqref="AL27:AL28">
    <cfRule type="expression" dxfId="1" priority="19">
      <formula>#REF!="No"</formula>
    </cfRule>
  </conditionalFormatting>
  <conditionalFormatting sqref="AL27:AL28">
    <cfRule type="expression" dxfId="1" priority="20">
      <formula>#REF!="No"</formula>
    </cfRule>
  </conditionalFormatting>
  <hyperlinks>
    <hyperlink r:id="rId1" ref="C5"/>
    <hyperlink r:id="rId2" ref="G5"/>
    <hyperlink r:id="rId3" ref="K5"/>
    <hyperlink r:id="rId4" ref="O5"/>
    <hyperlink r:id="rId5" ref="S5"/>
    <hyperlink r:id="rId6" ref="W5"/>
    <hyperlink r:id="rId7" ref="AA5"/>
    <hyperlink r:id="rId8" ref="AE5"/>
    <hyperlink r:id="rId9" ref="AI5"/>
    <hyperlink r:id="rId10" ref="AM5"/>
    <hyperlink r:id="rId11" ref="C30"/>
    <hyperlink r:id="rId12" ref="G30"/>
    <hyperlink r:id="rId13" ref="K30"/>
    <hyperlink r:id="rId14" ref="O30"/>
    <hyperlink r:id="rId15" ref="S30"/>
    <hyperlink r:id="rId16" ref="W30"/>
    <hyperlink r:id="rId17" ref="AA30"/>
    <hyperlink r:id="rId18" ref="AE30"/>
    <hyperlink r:id="rId19" ref="AI30"/>
    <hyperlink r:id="rId20" ref="AM30"/>
  </hyperlinks>
  <printOptions/>
  <pageMargins bottom="0.75" footer="0.0" header="0.0" left="0.7" right="0.7" top="0.75"/>
  <pageSetup orientation="landscape"/>
  <drawing r:id="rId2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3" width="9.14"/>
    <col customWidth="1" min="4" max="5" width="15.0"/>
    <col customWidth="1" min="6" max="6" width="15.43"/>
    <col customWidth="1" min="7" max="7" width="14.86"/>
    <col customWidth="1" min="8" max="8" width="10.71"/>
    <col customWidth="1" min="9" max="9" width="12.43"/>
    <col customWidth="1" min="10" max="10" width="14.86"/>
    <col customWidth="1" min="11" max="11" width="12.86"/>
    <col customWidth="1" min="12" max="12" width="14.29"/>
    <col customWidth="1" min="13" max="13" width="20.86"/>
    <col customWidth="1" min="14" max="14" width="12.71"/>
    <col customWidth="1" min="15" max="15" width="10.14"/>
    <col customWidth="1" min="16" max="16" width="18.86"/>
    <col customWidth="1" min="17" max="17" width="10.86"/>
    <col customWidth="1" min="18" max="29" width="9.14"/>
  </cols>
  <sheetData>
    <row r="1" ht="12.0" customHeight="1">
      <c r="A1" s="11"/>
      <c r="B1" s="11" t="s">
        <v>429</v>
      </c>
      <c r="C1" s="11" t="s">
        <v>753</v>
      </c>
      <c r="D1" s="11" t="s">
        <v>754</v>
      </c>
      <c r="E1" s="11"/>
      <c r="F1" s="287" t="s">
        <v>755</v>
      </c>
      <c r="G1" s="287" t="s">
        <v>756</v>
      </c>
      <c r="H1" s="287" t="s">
        <v>757</v>
      </c>
      <c r="I1" s="287" t="s">
        <v>758</v>
      </c>
      <c r="J1" s="287" t="s">
        <v>759</v>
      </c>
      <c r="K1" s="287"/>
      <c r="L1" s="287"/>
      <c r="M1" s="287" t="s">
        <v>760</v>
      </c>
      <c r="N1" s="287"/>
      <c r="O1" s="287" t="s">
        <v>761</v>
      </c>
      <c r="P1" s="11"/>
      <c r="Q1" s="11" t="s">
        <v>762</v>
      </c>
      <c r="R1" s="11" t="s">
        <v>763</v>
      </c>
      <c r="S1" s="11"/>
      <c r="T1" s="11"/>
      <c r="U1" s="11"/>
      <c r="V1" s="11"/>
      <c r="W1" s="11"/>
      <c r="X1" s="11"/>
      <c r="Y1" s="11"/>
      <c r="Z1" s="11"/>
      <c r="AA1" s="11"/>
      <c r="AB1" s="11"/>
      <c r="AC1" s="11"/>
    </row>
    <row r="2" ht="12.0" customHeight="1">
      <c r="A2" s="11"/>
      <c r="B2" s="143">
        <f>'Design Calculator'!F52</f>
        <v>70.4</v>
      </c>
      <c r="C2" s="288">
        <f>'Design Calculator'!F42</f>
        <v>22</v>
      </c>
      <c r="D2" s="11" t="str">
        <f>IF( 'Design Calculator'!F28 = "Constant Current", "CC", "R")</f>
        <v>CC</v>
      </c>
      <c r="E2" s="11"/>
      <c r="F2" s="11" t="str">
        <f>'Design Calculator'!F30</f>
        <v>Soft Start</v>
      </c>
      <c r="G2" s="11">
        <f>'Design Calculator'!F29</f>
        <v>0.2</v>
      </c>
      <c r="H2" s="11">
        <f>'Design Calculator'!F27</f>
        <v>0</v>
      </c>
      <c r="I2" s="11">
        <f>RsEFF</f>
        <v>2.5</v>
      </c>
      <c r="J2" s="11">
        <f>'Device Parameters'!E12</f>
        <v>0.001</v>
      </c>
      <c r="K2" s="11"/>
      <c r="L2" s="11"/>
      <c r="M2" s="143">
        <f>J114*1000</f>
        <v>281.25</v>
      </c>
      <c r="N2" s="11" t="s">
        <v>77</v>
      </c>
      <c r="O2" s="268">
        <f>MIN(L10:L111)</f>
        <v>0.6153846154</v>
      </c>
      <c r="P2" s="11"/>
      <c r="Q2" s="11">
        <f>'Device Parameters'!E30/'Device Parameters'!D30</f>
        <v>1.375</v>
      </c>
      <c r="R2" s="11">
        <f>'Device Parameters'!C30/'Device Parameters'!D30</f>
        <v>0.625</v>
      </c>
      <c r="S2" s="11"/>
      <c r="T2" s="11"/>
      <c r="U2" s="11"/>
      <c r="V2" s="11"/>
      <c r="W2" s="11"/>
      <c r="X2" s="11"/>
      <c r="Y2" s="11"/>
      <c r="Z2" s="11"/>
      <c r="AA2" s="11"/>
      <c r="AB2" s="11"/>
      <c r="AC2" s="11"/>
    </row>
    <row r="3" ht="12.0" customHeight="1">
      <c r="A3" s="11"/>
      <c r="B3" s="143"/>
      <c r="C3" s="11"/>
      <c r="D3" s="11"/>
      <c r="E3" s="11"/>
      <c r="F3" s="11"/>
      <c r="G3" s="11"/>
      <c r="H3" s="11"/>
      <c r="I3" s="11"/>
      <c r="J3" s="11"/>
      <c r="K3" s="11"/>
      <c r="L3" s="11"/>
      <c r="M3" s="143"/>
      <c r="N3" s="11"/>
      <c r="O3" s="268"/>
      <c r="P3" s="11"/>
      <c r="Q3" s="11"/>
      <c r="R3" s="11"/>
      <c r="S3" s="11"/>
      <c r="T3" s="11"/>
      <c r="U3" s="11"/>
      <c r="V3" s="11"/>
      <c r="W3" s="11"/>
      <c r="X3" s="11"/>
      <c r="Y3" s="11"/>
      <c r="Z3" s="11"/>
      <c r="AA3" s="11"/>
      <c r="AB3" s="11"/>
      <c r="AC3" s="11"/>
    </row>
    <row r="4" ht="12.0" customHeight="1">
      <c r="A4" s="11"/>
      <c r="B4" s="143"/>
      <c r="C4" s="11"/>
      <c r="D4" s="11" t="s">
        <v>764</v>
      </c>
      <c r="E4" s="11"/>
      <c r="F4" s="11"/>
      <c r="G4" s="11"/>
      <c r="H4" s="11"/>
      <c r="I4" s="11"/>
      <c r="J4" s="11"/>
      <c r="K4" s="11"/>
      <c r="L4" s="11"/>
      <c r="M4" s="143" t="s">
        <v>765</v>
      </c>
      <c r="N4" s="11">
        <f>MIN(M10:M114)</f>
        <v>0.3244444444</v>
      </c>
      <c r="O4" s="268" t="s">
        <v>166</v>
      </c>
      <c r="P4" s="11" t="s">
        <v>766</v>
      </c>
      <c r="Q4" s="11">
        <f>MAX(O10:O114)</f>
        <v>15.6</v>
      </c>
      <c r="R4" s="11" t="s">
        <v>88</v>
      </c>
      <c r="S4" s="11"/>
      <c r="T4" s="11"/>
      <c r="U4" s="11"/>
      <c r="V4" s="11"/>
      <c r="W4" s="11"/>
      <c r="X4" s="11"/>
      <c r="Y4" s="11"/>
      <c r="Z4" s="11"/>
      <c r="AA4" s="11"/>
      <c r="AB4" s="11"/>
      <c r="AC4" s="11"/>
    </row>
    <row r="5" ht="12.0" customHeight="1">
      <c r="A5" s="11"/>
      <c r="B5" s="143"/>
      <c r="C5" s="11"/>
      <c r="D5" s="11"/>
      <c r="E5" s="11"/>
      <c r="F5" s="11"/>
      <c r="G5" s="11"/>
      <c r="H5" s="11"/>
      <c r="I5" s="11"/>
      <c r="J5" s="11"/>
      <c r="K5" s="11"/>
      <c r="L5" s="11"/>
      <c r="M5" s="11" t="s">
        <v>767</v>
      </c>
      <c r="N5" s="289">
        <f>SUM(N10:N114)</f>
        <v>2.17265625</v>
      </c>
      <c r="O5" s="268" t="s">
        <v>360</v>
      </c>
      <c r="P5" s="11" t="s">
        <v>768</v>
      </c>
      <c r="Q5" s="11">
        <f>MAX(P10:P114)</f>
        <v>19.2</v>
      </c>
      <c r="R5" s="11" t="s">
        <v>88</v>
      </c>
      <c r="S5" s="11"/>
      <c r="T5" s="11"/>
      <c r="U5" s="11"/>
      <c r="V5" s="11"/>
      <c r="W5" s="11"/>
      <c r="X5" s="11"/>
      <c r="Y5" s="11"/>
      <c r="Z5" s="11"/>
      <c r="AA5" s="11"/>
      <c r="AB5" s="11"/>
      <c r="AC5" s="11"/>
    </row>
    <row r="6" ht="12.0" customHeight="1">
      <c r="A6" s="11"/>
      <c r="B6" s="11"/>
      <c r="C6" s="11"/>
      <c r="D6" s="11"/>
      <c r="E6" s="11"/>
      <c r="F6" s="11"/>
      <c r="G6" s="11"/>
      <c r="H6" s="11"/>
      <c r="I6" s="11"/>
      <c r="J6" s="11"/>
      <c r="K6" s="11"/>
      <c r="L6" s="11"/>
      <c r="M6" s="11"/>
      <c r="N6" s="11"/>
      <c r="O6" s="11"/>
      <c r="P6" s="11" t="s">
        <v>769</v>
      </c>
      <c r="Q6" s="11">
        <f>MAX(Q10:Q114)</f>
        <v>12</v>
      </c>
      <c r="R6" s="11" t="s">
        <v>88</v>
      </c>
      <c r="S6" s="11"/>
      <c r="T6" s="11"/>
      <c r="U6" s="11"/>
      <c r="V6" s="11"/>
      <c r="W6" s="11"/>
      <c r="X6" s="11"/>
      <c r="Y6" s="11"/>
      <c r="Z6" s="11"/>
      <c r="AA6" s="11"/>
      <c r="AB6" s="11"/>
      <c r="AC6" s="11"/>
    </row>
    <row r="7" ht="12.0" customHeight="1">
      <c r="A7" s="290" t="s">
        <v>770</v>
      </c>
      <c r="B7" s="263" t="s">
        <v>771</v>
      </c>
      <c r="C7" s="263" t="s">
        <v>772</v>
      </c>
      <c r="D7" s="263" t="s">
        <v>429</v>
      </c>
      <c r="E7" s="263" t="s">
        <v>773</v>
      </c>
      <c r="F7" s="263" t="s">
        <v>774</v>
      </c>
      <c r="G7" s="263" t="s">
        <v>775</v>
      </c>
      <c r="H7" s="263" t="s">
        <v>776</v>
      </c>
      <c r="I7" s="263" t="s">
        <v>777</v>
      </c>
      <c r="J7" s="263" t="s">
        <v>778</v>
      </c>
      <c r="K7" s="263" t="s">
        <v>779</v>
      </c>
      <c r="L7" s="290" t="s">
        <v>780</v>
      </c>
      <c r="M7" s="290" t="s">
        <v>781</v>
      </c>
      <c r="N7" s="290" t="s">
        <v>782</v>
      </c>
      <c r="O7" s="290" t="s">
        <v>783</v>
      </c>
      <c r="P7" s="11" t="s">
        <v>784</v>
      </c>
      <c r="Q7" s="11" t="s">
        <v>785</v>
      </c>
      <c r="R7" s="11"/>
      <c r="S7" s="11"/>
      <c r="T7" s="11"/>
      <c r="U7" s="11"/>
      <c r="V7" s="11"/>
      <c r="W7" s="11"/>
      <c r="X7" s="11"/>
      <c r="Y7" s="11"/>
      <c r="Z7" s="11"/>
      <c r="AA7" s="11"/>
      <c r="AB7" s="11"/>
      <c r="AC7" s="11"/>
    </row>
    <row r="8" ht="12.0" customHeight="1">
      <c r="A8" s="290"/>
      <c r="B8" s="263"/>
      <c r="C8" s="263"/>
      <c r="D8" s="263"/>
      <c r="E8" s="263"/>
      <c r="F8" s="263"/>
      <c r="G8" s="263"/>
      <c r="H8" s="263"/>
      <c r="I8" s="263"/>
      <c r="J8" s="263"/>
      <c r="K8" s="291">
        <v>-1.0</v>
      </c>
      <c r="L8" s="290"/>
      <c r="M8" s="290"/>
      <c r="N8" s="290"/>
      <c r="O8" s="11">
        <v>0.0</v>
      </c>
      <c r="P8" s="11"/>
      <c r="Q8" s="11"/>
      <c r="R8" s="11"/>
      <c r="S8" s="11"/>
      <c r="T8" s="11"/>
      <c r="U8" s="11"/>
      <c r="V8" s="11"/>
      <c r="W8" s="11"/>
      <c r="X8" s="11"/>
      <c r="Y8" s="11"/>
      <c r="Z8" s="11"/>
      <c r="AA8" s="11"/>
      <c r="AB8" s="11"/>
      <c r="AC8" s="11"/>
    </row>
    <row r="9" ht="12.0" customHeight="1">
      <c r="A9" s="290"/>
      <c r="B9" s="263"/>
      <c r="C9" s="263"/>
      <c r="D9" s="263"/>
      <c r="E9" s="263"/>
      <c r="F9" s="263"/>
      <c r="G9" s="263"/>
      <c r="H9" s="263"/>
      <c r="I9" s="263"/>
      <c r="J9" s="263"/>
      <c r="K9" s="262">
        <v>-0.01</v>
      </c>
      <c r="L9" s="290"/>
      <c r="M9" s="290"/>
      <c r="N9" s="290"/>
      <c r="O9" s="11">
        <v>0.0</v>
      </c>
      <c r="P9" s="11"/>
      <c r="Q9" s="11"/>
      <c r="R9" s="11"/>
      <c r="S9" s="11"/>
      <c r="T9" s="11"/>
      <c r="U9" s="11"/>
      <c r="V9" s="11"/>
      <c r="W9" s="11"/>
      <c r="X9" s="11"/>
      <c r="Y9" s="11"/>
      <c r="Z9" s="11"/>
      <c r="AA9" s="11"/>
      <c r="AB9" s="11"/>
      <c r="AC9" s="11"/>
    </row>
    <row r="10" ht="12.0" customHeight="1">
      <c r="A10" s="11">
        <f>VINMAX</f>
        <v>30</v>
      </c>
      <c r="B10" s="292">
        <f>VINMAX*((ROW()-10)/104)</f>
        <v>0</v>
      </c>
      <c r="C10" s="267">
        <f t="shared" ref="C10:C114" si="1">IF(B10&gt;=$H$2,IF($D$2="CC", $G$2, B10/$G$2), 0)</f>
        <v>0.2</v>
      </c>
      <c r="D10" s="262">
        <f>B2</f>
        <v>70.4</v>
      </c>
      <c r="E10" s="252">
        <f t="shared" ref="E10:E110" si="2">MIN(D10/(A10-B10),$C$2)</f>
        <v>2.346666667</v>
      </c>
      <c r="F10" s="267">
        <f>I_Cout_ss+C10</f>
        <v>0.52</v>
      </c>
      <c r="G10" s="267">
        <f t="shared" ref="G10:G114" si="3">IF($F$2="Soft Start", F10, E10)</f>
        <v>0.52</v>
      </c>
      <c r="H10" s="267">
        <f t="shared" ref="H10:H114" si="4">G10-C10</f>
        <v>0.32</v>
      </c>
      <c r="I10" s="266">
        <f>(COUTMAX/1000000)*(B10)/H10</f>
        <v>0</v>
      </c>
      <c r="J10" s="266">
        <f>I10</f>
        <v>0</v>
      </c>
      <c r="K10" s="291">
        <f t="shared" ref="K10:K114" si="5">J10*1000</f>
        <v>0</v>
      </c>
      <c r="L10" s="268">
        <f t="shared" ref="L10:L114" si="6">H10/G10</f>
        <v>0.6153846154</v>
      </c>
      <c r="M10" s="11">
        <f>1/COUTMAX*(E10/2-C10)*1000</f>
        <v>0.3244444444</v>
      </c>
      <c r="N10" s="289">
        <f t="shared" ref="N10:N114" si="7">I10*G10*(A10-B10)</f>
        <v>0</v>
      </c>
      <c r="O10" s="11">
        <f t="shared" ref="O10:O114" si="8">G10*(A10-B10)</f>
        <v>15.6</v>
      </c>
      <c r="P10" s="11">
        <f>(A10-B10)*(I_Cout_ss*$Q$2+C10)</f>
        <v>19.2</v>
      </c>
      <c r="Q10" s="11">
        <f>(A10-B10)*(I_Cout_ss*$R$2+C10)</f>
        <v>12</v>
      </c>
      <c r="R10" s="11"/>
      <c r="S10" s="11"/>
      <c r="T10" s="11"/>
      <c r="U10" s="11"/>
      <c r="V10" s="11"/>
      <c r="W10" s="11"/>
      <c r="X10" s="11"/>
      <c r="Y10" s="11"/>
      <c r="Z10" s="11"/>
      <c r="AA10" s="11"/>
      <c r="AB10" s="11"/>
      <c r="AC10" s="11"/>
    </row>
    <row r="11" ht="12.0" customHeight="1">
      <c r="A11" s="11">
        <f>VINMAX</f>
        <v>30</v>
      </c>
      <c r="B11" s="292">
        <f>VINMAX*((ROW()-10)/104)</f>
        <v>0.2884615385</v>
      </c>
      <c r="C11" s="267">
        <f t="shared" si="1"/>
        <v>0.2</v>
      </c>
      <c r="D11" s="262">
        <f>B2</f>
        <v>70.4</v>
      </c>
      <c r="E11" s="252">
        <f t="shared" si="2"/>
        <v>2.369449838</v>
      </c>
      <c r="F11" s="267">
        <f>I_Cout_ss+C11</f>
        <v>0.52</v>
      </c>
      <c r="G11" s="267">
        <f t="shared" si="3"/>
        <v>0.52</v>
      </c>
      <c r="H11" s="267">
        <f t="shared" si="4"/>
        <v>0.32</v>
      </c>
      <c r="I11" s="266">
        <f>(COUTMAX/1000000)*(B11-B10)/H11</f>
        <v>0.002704326923</v>
      </c>
      <c r="J11" s="266">
        <f t="shared" ref="J11:J114" si="9">J10+I11</f>
        <v>0.002704326923</v>
      </c>
      <c r="K11" s="291">
        <f t="shared" si="5"/>
        <v>2.704326923</v>
      </c>
      <c r="L11" s="268">
        <f t="shared" si="6"/>
        <v>0.6153846154</v>
      </c>
      <c r="M11" s="11">
        <f>1/COUTMAX*(E11/2-C11)*1000</f>
        <v>0.3282416397</v>
      </c>
      <c r="N11" s="289">
        <f t="shared" si="7"/>
        <v>0.04178185096</v>
      </c>
      <c r="O11" s="11">
        <f t="shared" si="8"/>
        <v>15.45</v>
      </c>
      <c r="P11" s="11">
        <f>(A11-B11)*(I_Cout_ss*$Q$2+C11)</f>
        <v>19.01538462</v>
      </c>
      <c r="Q11" s="11">
        <f>(A11-B11)*(I_Cout_ss*$R$2+C11)</f>
        <v>11.88461538</v>
      </c>
      <c r="R11" s="11"/>
      <c r="S11" s="11"/>
      <c r="T11" s="11"/>
      <c r="U11" s="11"/>
      <c r="V11" s="11"/>
      <c r="W11" s="11"/>
      <c r="X11" s="11"/>
      <c r="Y11" s="11"/>
      <c r="Z11" s="11"/>
      <c r="AA11" s="11"/>
      <c r="AB11" s="11"/>
      <c r="AC11" s="11"/>
    </row>
    <row r="12" ht="12.0" customHeight="1">
      <c r="A12" s="11">
        <f>VINMAX</f>
        <v>30</v>
      </c>
      <c r="B12" s="292">
        <f>VINMAX*((ROW()-10)/104)</f>
        <v>0.5769230769</v>
      </c>
      <c r="C12" s="267">
        <f t="shared" si="1"/>
        <v>0.2</v>
      </c>
      <c r="D12" s="262">
        <f>B2</f>
        <v>70.4</v>
      </c>
      <c r="E12" s="252">
        <f t="shared" si="2"/>
        <v>2.392679739</v>
      </c>
      <c r="F12" s="267">
        <f>I_Cout_ss+C12</f>
        <v>0.52</v>
      </c>
      <c r="G12" s="267">
        <f t="shared" si="3"/>
        <v>0.52</v>
      </c>
      <c r="H12" s="267">
        <f t="shared" si="4"/>
        <v>0.32</v>
      </c>
      <c r="I12" s="266">
        <f>(COUTMAX/1000000)*(B12-B11)/H12</f>
        <v>0.002704326923</v>
      </c>
      <c r="J12" s="266">
        <f t="shared" si="9"/>
        <v>0.005408653846</v>
      </c>
      <c r="K12" s="291">
        <f t="shared" si="5"/>
        <v>5.408653846</v>
      </c>
      <c r="L12" s="268">
        <f t="shared" si="6"/>
        <v>0.6153846154</v>
      </c>
      <c r="M12" s="11">
        <f>1/COUTMAX*(E12/2-C12)*1000</f>
        <v>0.3321132898</v>
      </c>
      <c r="N12" s="289">
        <f t="shared" si="7"/>
        <v>0.04137620192</v>
      </c>
      <c r="O12" s="11">
        <f t="shared" si="8"/>
        <v>15.3</v>
      </c>
      <c r="P12" s="11">
        <f>(A12-B12)*(I_Cout_ss*$Q$2+C12)</f>
        <v>18.83076923</v>
      </c>
      <c r="Q12" s="11">
        <f>(A12-B12)*(I_Cout_ss*$R$2+C12)</f>
        <v>11.76923077</v>
      </c>
      <c r="R12" s="11"/>
      <c r="S12" s="11"/>
      <c r="T12" s="11"/>
      <c r="U12" s="11"/>
      <c r="V12" s="11"/>
      <c r="W12" s="11"/>
      <c r="X12" s="293" t="s">
        <v>786</v>
      </c>
      <c r="Y12" s="294"/>
      <c r="Z12" s="11"/>
      <c r="AA12" s="11"/>
      <c r="AB12" s="11"/>
      <c r="AC12" s="11"/>
    </row>
    <row r="13" ht="12.0" customHeight="1">
      <c r="A13" s="11">
        <f>VINMAX</f>
        <v>30</v>
      </c>
      <c r="B13" s="292">
        <f>VINMAX*((ROW()-10)/104)</f>
        <v>0.8653846154</v>
      </c>
      <c r="C13" s="267">
        <f t="shared" si="1"/>
        <v>0.2</v>
      </c>
      <c r="D13" s="262">
        <f>B2</f>
        <v>70.4</v>
      </c>
      <c r="E13" s="252">
        <f t="shared" si="2"/>
        <v>2.416369637</v>
      </c>
      <c r="F13" s="267">
        <f>I_Cout_ss+C13</f>
        <v>0.52</v>
      </c>
      <c r="G13" s="267">
        <f t="shared" si="3"/>
        <v>0.52</v>
      </c>
      <c r="H13" s="267">
        <f t="shared" si="4"/>
        <v>0.32</v>
      </c>
      <c r="I13" s="266">
        <f>(COUTMAX/1000000)*(B13-B12)/H13</f>
        <v>0.002704326923</v>
      </c>
      <c r="J13" s="266">
        <f t="shared" si="9"/>
        <v>0.008112980769</v>
      </c>
      <c r="K13" s="291">
        <f t="shared" si="5"/>
        <v>8.112980769</v>
      </c>
      <c r="L13" s="268">
        <f t="shared" si="6"/>
        <v>0.6153846154</v>
      </c>
      <c r="M13" s="11">
        <f>1/COUTMAX*(E13/2-C13)*1000</f>
        <v>0.3360616062</v>
      </c>
      <c r="N13" s="289">
        <f t="shared" si="7"/>
        <v>0.04097055288</v>
      </c>
      <c r="O13" s="11">
        <f t="shared" si="8"/>
        <v>15.15</v>
      </c>
      <c r="P13" s="11">
        <f>(A13-B13)*(I_Cout_ss*$Q$2+C13)</f>
        <v>18.64615385</v>
      </c>
      <c r="Q13" s="11">
        <f>(A13-B13)*(I_Cout_ss*$R$2+C13)</f>
        <v>11.65384615</v>
      </c>
      <c r="R13" s="11"/>
      <c r="S13" s="11"/>
      <c r="T13" s="11"/>
      <c r="U13" s="11"/>
      <c r="V13" s="11"/>
      <c r="W13" s="11"/>
      <c r="X13" s="295" t="s">
        <v>787</v>
      </c>
      <c r="Y13" s="295">
        <v>0.3</v>
      </c>
      <c r="Z13" s="11"/>
      <c r="AA13" s="11"/>
      <c r="AB13" s="11"/>
      <c r="AC13" s="11"/>
    </row>
    <row r="14" ht="12.0" customHeight="1">
      <c r="A14" s="11">
        <f>VINMAX</f>
        <v>30</v>
      </c>
      <c r="B14" s="292">
        <f>VINMAX*((ROW()-10)/104)</f>
        <v>1.153846154</v>
      </c>
      <c r="C14" s="267">
        <f t="shared" si="1"/>
        <v>0.2</v>
      </c>
      <c r="D14" s="262">
        <f>B2</f>
        <v>70.4</v>
      </c>
      <c r="E14" s="252">
        <f t="shared" si="2"/>
        <v>2.440533333</v>
      </c>
      <c r="F14" s="267">
        <f>I_Cout_ss+C14</f>
        <v>0.52</v>
      </c>
      <c r="G14" s="267">
        <f t="shared" si="3"/>
        <v>0.52</v>
      </c>
      <c r="H14" s="267">
        <f t="shared" si="4"/>
        <v>0.32</v>
      </c>
      <c r="I14" s="266">
        <f>(COUTMAX/1000000)*(B14-B13)/H14</f>
        <v>0.002704326923</v>
      </c>
      <c r="J14" s="266">
        <f t="shared" si="9"/>
        <v>0.01081730769</v>
      </c>
      <c r="K14" s="291">
        <f t="shared" si="5"/>
        <v>10.81730769</v>
      </c>
      <c r="L14" s="268">
        <f t="shared" si="6"/>
        <v>0.6153846154</v>
      </c>
      <c r="M14" s="11">
        <f>1/COUTMAX*(E14/2-C14)*1000</f>
        <v>0.3400888889</v>
      </c>
      <c r="N14" s="289">
        <f t="shared" si="7"/>
        <v>0.04056490385</v>
      </c>
      <c r="O14" s="11">
        <f t="shared" si="8"/>
        <v>15</v>
      </c>
      <c r="P14" s="11">
        <f>(A14-B14)*(I_Cout_ss*$Q$2+C14)</f>
        <v>18.46153846</v>
      </c>
      <c r="Q14" s="11">
        <f>(A14-B14)*(I_Cout_ss*$R$2+C14)</f>
        <v>11.53846154</v>
      </c>
      <c r="R14" s="11"/>
      <c r="S14" s="11"/>
      <c r="T14" s="11"/>
      <c r="U14" s="11"/>
      <c r="V14" s="11"/>
      <c r="W14" s="11"/>
      <c r="X14" s="295" t="s">
        <v>788</v>
      </c>
      <c r="Y14" s="295">
        <v>0.3</v>
      </c>
      <c r="Z14" s="11"/>
      <c r="AA14" s="11"/>
      <c r="AB14" s="11"/>
      <c r="AC14" s="11"/>
    </row>
    <row r="15" ht="12.0" customHeight="1">
      <c r="A15" s="11">
        <f>VINMAX</f>
        <v>30</v>
      </c>
      <c r="B15" s="292">
        <f>VINMAX*((ROW()-10)/104)</f>
        <v>1.442307692</v>
      </c>
      <c r="C15" s="267">
        <f t="shared" si="1"/>
        <v>0.2</v>
      </c>
      <c r="D15" s="262">
        <f>B2</f>
        <v>70.4</v>
      </c>
      <c r="E15" s="252">
        <f t="shared" si="2"/>
        <v>2.465185185</v>
      </c>
      <c r="F15" s="267">
        <f>I_Cout_ss+C15</f>
        <v>0.52</v>
      </c>
      <c r="G15" s="267">
        <f t="shared" si="3"/>
        <v>0.52</v>
      </c>
      <c r="H15" s="267">
        <f t="shared" si="4"/>
        <v>0.32</v>
      </c>
      <c r="I15" s="266">
        <f>(COUTMAX/1000000)*(B15-B14)/H15</f>
        <v>0.002704326923</v>
      </c>
      <c r="J15" s="266">
        <f t="shared" si="9"/>
        <v>0.01352163462</v>
      </c>
      <c r="K15" s="291">
        <f t="shared" si="5"/>
        <v>13.52163462</v>
      </c>
      <c r="L15" s="268">
        <f t="shared" si="6"/>
        <v>0.6153846154</v>
      </c>
      <c r="M15" s="11">
        <f>1/COUTMAX*(E15/2-C15)*1000</f>
        <v>0.3441975309</v>
      </c>
      <c r="N15" s="289">
        <f t="shared" si="7"/>
        <v>0.04015925481</v>
      </c>
      <c r="O15" s="11">
        <f t="shared" si="8"/>
        <v>14.85</v>
      </c>
      <c r="P15" s="11">
        <f>(A15-B15)*(I_Cout_ss*$Q$2+C15)</f>
        <v>18.27692308</v>
      </c>
      <c r="Q15" s="11">
        <f>(A15-B15)*(I_Cout_ss*$R$2+C15)</f>
        <v>11.42307692</v>
      </c>
      <c r="R15" s="11"/>
      <c r="S15" s="11"/>
      <c r="T15" s="11"/>
      <c r="U15" s="11"/>
      <c r="V15" s="11"/>
      <c r="W15" s="11"/>
      <c r="X15" s="295" t="s">
        <v>789</v>
      </c>
      <c r="Y15" s="295">
        <f>SQRT(Y14^2+Y13^2)</f>
        <v>0.4242640687</v>
      </c>
      <c r="Z15" s="11"/>
      <c r="AA15" s="11"/>
      <c r="AB15" s="11"/>
      <c r="AC15" s="11"/>
    </row>
    <row r="16" ht="12.0" customHeight="1">
      <c r="A16" s="11">
        <f>VINMAX</f>
        <v>30</v>
      </c>
      <c r="B16" s="292">
        <f>VINMAX*((ROW()-10)/104)</f>
        <v>1.730769231</v>
      </c>
      <c r="C16" s="267">
        <f t="shared" si="1"/>
        <v>0.2</v>
      </c>
      <c r="D16" s="262">
        <f>B2</f>
        <v>70.4</v>
      </c>
      <c r="E16" s="252">
        <f t="shared" si="2"/>
        <v>2.490340136</v>
      </c>
      <c r="F16" s="267">
        <f>I_Cout_ss+C16</f>
        <v>0.52</v>
      </c>
      <c r="G16" s="267">
        <f t="shared" si="3"/>
        <v>0.52</v>
      </c>
      <c r="H16" s="267">
        <f t="shared" si="4"/>
        <v>0.32</v>
      </c>
      <c r="I16" s="266">
        <f>(COUTMAX/1000000)*(B16-B15)/H16</f>
        <v>0.002704326923</v>
      </c>
      <c r="J16" s="266">
        <f t="shared" si="9"/>
        <v>0.01622596154</v>
      </c>
      <c r="K16" s="291">
        <f t="shared" si="5"/>
        <v>16.22596154</v>
      </c>
      <c r="L16" s="268">
        <f t="shared" si="6"/>
        <v>0.6153846154</v>
      </c>
      <c r="M16" s="11">
        <f>1/COUTMAX*(E16/2-C16)*1000</f>
        <v>0.3483900227</v>
      </c>
      <c r="N16" s="289">
        <f t="shared" si="7"/>
        <v>0.03975360577</v>
      </c>
      <c r="O16" s="11">
        <f t="shared" si="8"/>
        <v>14.7</v>
      </c>
      <c r="P16" s="11">
        <f>(A16-B16)*(I_Cout_ss*$Q$2+C16)</f>
        <v>18.09230769</v>
      </c>
      <c r="Q16" s="11">
        <f>(A16-B16)*(I_Cout_ss*$R$2+C16)</f>
        <v>11.30769231</v>
      </c>
      <c r="R16" s="11"/>
      <c r="S16" s="11"/>
      <c r="T16" s="11"/>
      <c r="U16" s="11"/>
      <c r="V16" s="11"/>
      <c r="W16" s="11"/>
      <c r="X16" s="295"/>
      <c r="Y16" s="295"/>
      <c r="Z16" s="11"/>
      <c r="AA16" s="11"/>
      <c r="AB16" s="11"/>
      <c r="AC16" s="11"/>
    </row>
    <row r="17" ht="12.0" customHeight="1">
      <c r="A17" s="11">
        <f>VINMAX</f>
        <v>30</v>
      </c>
      <c r="B17" s="292">
        <f>VINMAX*((ROW()-10)/104)</f>
        <v>2.019230769</v>
      </c>
      <c r="C17" s="267">
        <f t="shared" si="1"/>
        <v>0.2</v>
      </c>
      <c r="D17" s="262">
        <f>B2</f>
        <v>70.4</v>
      </c>
      <c r="E17" s="252">
        <f t="shared" si="2"/>
        <v>2.516013746</v>
      </c>
      <c r="F17" s="267">
        <f>I_Cout_ss+C17</f>
        <v>0.52</v>
      </c>
      <c r="G17" s="267">
        <f t="shared" si="3"/>
        <v>0.52</v>
      </c>
      <c r="H17" s="267">
        <f t="shared" si="4"/>
        <v>0.32</v>
      </c>
      <c r="I17" s="266">
        <f>(COUTMAX/1000000)*(B17-B16)/H17</f>
        <v>0.002704326923</v>
      </c>
      <c r="J17" s="266">
        <f t="shared" si="9"/>
        <v>0.01893028846</v>
      </c>
      <c r="K17" s="291">
        <f t="shared" si="5"/>
        <v>18.93028846</v>
      </c>
      <c r="L17" s="268">
        <f t="shared" si="6"/>
        <v>0.6153846154</v>
      </c>
      <c r="M17" s="11">
        <f>1/COUTMAX*(E17/2-C17)*1000</f>
        <v>0.3526689576</v>
      </c>
      <c r="N17" s="289">
        <f t="shared" si="7"/>
        <v>0.03934795673</v>
      </c>
      <c r="O17" s="11">
        <f t="shared" si="8"/>
        <v>14.55</v>
      </c>
      <c r="P17" s="11">
        <f>(A17-B17)*(I_Cout_ss*$Q$2+C17)</f>
        <v>17.90769231</v>
      </c>
      <c r="Q17" s="11">
        <f>(A17-B17)*(I_Cout_ss*$R$2+C17)</f>
        <v>11.19230769</v>
      </c>
      <c r="R17" s="11"/>
      <c r="S17" s="11"/>
      <c r="T17" s="11"/>
      <c r="U17" s="11"/>
      <c r="V17" s="11"/>
      <c r="W17" s="11"/>
      <c r="X17" s="295" t="s">
        <v>429</v>
      </c>
      <c r="Y17" s="295">
        <v>0.3</v>
      </c>
      <c r="Z17" s="11"/>
      <c r="AA17" s="11"/>
      <c r="AB17" s="11"/>
      <c r="AC17" s="11"/>
    </row>
    <row r="18" ht="12.0" customHeight="1">
      <c r="A18" s="11">
        <f>VINMAX</f>
        <v>30</v>
      </c>
      <c r="B18" s="292">
        <f>VINMAX*((ROW()-10)/104)</f>
        <v>2.307692308</v>
      </c>
      <c r="C18" s="267">
        <f t="shared" si="1"/>
        <v>0.2</v>
      </c>
      <c r="D18" s="262">
        <f>B2</f>
        <v>70.4</v>
      </c>
      <c r="E18" s="252">
        <f t="shared" si="2"/>
        <v>2.542222222</v>
      </c>
      <c r="F18" s="267">
        <f>I_Cout_ss+C18</f>
        <v>0.52</v>
      </c>
      <c r="G18" s="267">
        <f t="shared" si="3"/>
        <v>0.52</v>
      </c>
      <c r="H18" s="267">
        <f t="shared" si="4"/>
        <v>0.32</v>
      </c>
      <c r="I18" s="266">
        <f>(COUTMAX/1000000)*(B18-B17)/H18</f>
        <v>0.002704326923</v>
      </c>
      <c r="J18" s="266">
        <f t="shared" si="9"/>
        <v>0.02163461538</v>
      </c>
      <c r="K18" s="291">
        <f t="shared" si="5"/>
        <v>21.63461538</v>
      </c>
      <c r="L18" s="268">
        <f t="shared" si="6"/>
        <v>0.6153846154</v>
      </c>
      <c r="M18" s="11">
        <f>1/COUTMAX*(E18/2-C18)*1000</f>
        <v>0.357037037</v>
      </c>
      <c r="N18" s="289">
        <f t="shared" si="7"/>
        <v>0.03894230769</v>
      </c>
      <c r="O18" s="11">
        <f t="shared" si="8"/>
        <v>14.4</v>
      </c>
      <c r="P18" s="11">
        <f>(A18-B18)*(I_Cout_ss*$Q$2+C18)</f>
        <v>17.72307692</v>
      </c>
      <c r="Q18" s="11">
        <f>(A18-B18)*(I_Cout_ss*$R$2+C18)</f>
        <v>11.07692308</v>
      </c>
      <c r="R18" s="11"/>
      <c r="S18" s="11"/>
      <c r="T18" s="11"/>
      <c r="U18" s="11"/>
      <c r="V18" s="11"/>
      <c r="W18" s="11"/>
      <c r="X18" s="295" t="s">
        <v>790</v>
      </c>
      <c r="Y18" s="295">
        <f>MAX(Y15:Y17)</f>
        <v>0.4242640687</v>
      </c>
      <c r="Z18" s="11"/>
      <c r="AA18" s="11"/>
      <c r="AB18" s="11"/>
      <c r="AC18" s="11"/>
    </row>
    <row r="19" ht="12.0" customHeight="1">
      <c r="A19" s="11">
        <f>VINMAX</f>
        <v>30</v>
      </c>
      <c r="B19" s="292">
        <f>VINMAX*((ROW()-10)/104)</f>
        <v>2.596153846</v>
      </c>
      <c r="C19" s="267">
        <f t="shared" si="1"/>
        <v>0.2</v>
      </c>
      <c r="D19" s="262">
        <f>B2</f>
        <v>70.4</v>
      </c>
      <c r="E19" s="252">
        <f t="shared" si="2"/>
        <v>2.568982456</v>
      </c>
      <c r="F19" s="267">
        <f>I_Cout_ss+C19</f>
        <v>0.52</v>
      </c>
      <c r="G19" s="267">
        <f t="shared" si="3"/>
        <v>0.52</v>
      </c>
      <c r="H19" s="267">
        <f t="shared" si="4"/>
        <v>0.32</v>
      </c>
      <c r="I19" s="266">
        <f>(COUTMAX/1000000)*(B19-B18)/H19</f>
        <v>0.002704326923</v>
      </c>
      <c r="J19" s="266">
        <f t="shared" si="9"/>
        <v>0.02433894231</v>
      </c>
      <c r="K19" s="291">
        <f t="shared" si="5"/>
        <v>24.33894231</v>
      </c>
      <c r="L19" s="268">
        <f t="shared" si="6"/>
        <v>0.6153846154</v>
      </c>
      <c r="M19" s="11">
        <f>1/COUTMAX*(E19/2-C19)*1000</f>
        <v>0.361497076</v>
      </c>
      <c r="N19" s="289">
        <f t="shared" si="7"/>
        <v>0.03853665865</v>
      </c>
      <c r="O19" s="11">
        <f t="shared" si="8"/>
        <v>14.25</v>
      </c>
      <c r="P19" s="11">
        <f>(A19-B19)*(I_Cout_ss*$Q$2+C19)</f>
        <v>17.53846154</v>
      </c>
      <c r="Q19" s="11">
        <f>(A19-B19)*(I_Cout_ss*$R$2+C19)</f>
        <v>10.96153846</v>
      </c>
      <c r="R19" s="11"/>
      <c r="S19" s="11"/>
      <c r="T19" s="11"/>
      <c r="U19" s="11"/>
      <c r="V19" s="11"/>
      <c r="W19" s="11"/>
      <c r="X19" s="295"/>
      <c r="Y19" s="295"/>
      <c r="Z19" s="11"/>
      <c r="AA19" s="11"/>
      <c r="AB19" s="11"/>
      <c r="AC19" s="11"/>
    </row>
    <row r="20" ht="12.0" customHeight="1">
      <c r="A20" s="11">
        <f>VINMAX</f>
        <v>30</v>
      </c>
      <c r="B20" s="292">
        <f>VINMAX*((ROW()-10)/104)</f>
        <v>2.884615385</v>
      </c>
      <c r="C20" s="267">
        <f t="shared" si="1"/>
        <v>0.2</v>
      </c>
      <c r="D20" s="262">
        <f>B2</f>
        <v>70.4</v>
      </c>
      <c r="E20" s="252">
        <f t="shared" si="2"/>
        <v>2.596312057</v>
      </c>
      <c r="F20" s="267">
        <f>I_Cout_ss+C20</f>
        <v>0.52</v>
      </c>
      <c r="G20" s="267">
        <f t="shared" si="3"/>
        <v>0.52</v>
      </c>
      <c r="H20" s="267">
        <f t="shared" si="4"/>
        <v>0.32</v>
      </c>
      <c r="I20" s="266">
        <f>(COUTMAX/1000000)*(B20-B19)/H20</f>
        <v>0.002704326923</v>
      </c>
      <c r="J20" s="266">
        <f t="shared" si="9"/>
        <v>0.02704326923</v>
      </c>
      <c r="K20" s="291">
        <f t="shared" si="5"/>
        <v>27.04326923</v>
      </c>
      <c r="L20" s="268">
        <f t="shared" si="6"/>
        <v>0.6153846154</v>
      </c>
      <c r="M20" s="11">
        <f>1/COUTMAX*(E20/2-C20)*1000</f>
        <v>0.3660520095</v>
      </c>
      <c r="N20" s="289">
        <f t="shared" si="7"/>
        <v>0.03813100962</v>
      </c>
      <c r="O20" s="11">
        <f t="shared" si="8"/>
        <v>14.1</v>
      </c>
      <c r="P20" s="11">
        <f>(A20-B20)*(I_Cout_ss*$Q$2+C20)</f>
        <v>17.35384615</v>
      </c>
      <c r="Q20" s="11">
        <f>(A20-B20)*(I_Cout_ss*$R$2+C20)</f>
        <v>10.84615385</v>
      </c>
      <c r="R20" s="11"/>
      <c r="S20" s="11"/>
      <c r="T20" s="11"/>
      <c r="U20" s="11"/>
      <c r="V20" s="11"/>
      <c r="W20" s="11"/>
      <c r="X20" s="295" t="s">
        <v>791</v>
      </c>
      <c r="Y20" s="295">
        <v>0.2</v>
      </c>
      <c r="Z20" s="11"/>
      <c r="AA20" s="11"/>
      <c r="AB20" s="11"/>
      <c r="AC20" s="11"/>
    </row>
    <row r="21" ht="12.0" customHeight="1">
      <c r="A21" s="11">
        <f>VINMAX</f>
        <v>30</v>
      </c>
      <c r="B21" s="292">
        <f>VINMAX*((ROW()-10)/104)</f>
        <v>3.173076923</v>
      </c>
      <c r="C21" s="267">
        <f t="shared" si="1"/>
        <v>0.2</v>
      </c>
      <c r="D21" s="262">
        <f>B2</f>
        <v>70.4</v>
      </c>
      <c r="E21" s="252">
        <f t="shared" si="2"/>
        <v>2.624229391</v>
      </c>
      <c r="F21" s="267">
        <f>I_Cout_ss+C21</f>
        <v>0.52</v>
      </c>
      <c r="G21" s="267">
        <f t="shared" si="3"/>
        <v>0.52</v>
      </c>
      <c r="H21" s="267">
        <f t="shared" si="4"/>
        <v>0.32</v>
      </c>
      <c r="I21" s="266">
        <f>(COUTMAX/1000000)*(B21-B20)/H21</f>
        <v>0.002704326923</v>
      </c>
      <c r="J21" s="266">
        <f t="shared" si="9"/>
        <v>0.02974759615</v>
      </c>
      <c r="K21" s="291">
        <f t="shared" si="5"/>
        <v>29.74759615</v>
      </c>
      <c r="L21" s="268">
        <f t="shared" si="6"/>
        <v>0.6153846154</v>
      </c>
      <c r="M21" s="11">
        <f>1/COUTMAX*(E21/2-C21)*1000</f>
        <v>0.3707048984</v>
      </c>
      <c r="N21" s="289">
        <f t="shared" si="7"/>
        <v>0.03772536058</v>
      </c>
      <c r="O21" s="11">
        <f t="shared" si="8"/>
        <v>13.95</v>
      </c>
      <c r="P21" s="11">
        <f>(A21-B21)*(I_Cout_ss*$Q$2+C21)</f>
        <v>17.16923077</v>
      </c>
      <c r="Q21" s="11">
        <f>(A21-B21)*(I_Cout_ss*$R$2+C21)</f>
        <v>10.73076923</v>
      </c>
      <c r="R21" s="11"/>
      <c r="S21" s="11"/>
      <c r="T21" s="11"/>
      <c r="U21" s="11"/>
      <c r="V21" s="11"/>
      <c r="W21" s="11"/>
      <c r="X21" s="295" t="s">
        <v>792</v>
      </c>
      <c r="Y21" s="295">
        <v>0.2</v>
      </c>
      <c r="Z21" s="11"/>
      <c r="AA21" s="11"/>
      <c r="AB21" s="11"/>
      <c r="AC21" s="11"/>
    </row>
    <row r="22" ht="12.0" customHeight="1">
      <c r="A22" s="11">
        <f>VINMAX</f>
        <v>30</v>
      </c>
      <c r="B22" s="292">
        <f>VINMAX*((ROW()-10)/104)</f>
        <v>3.461538462</v>
      </c>
      <c r="C22" s="267">
        <f t="shared" si="1"/>
        <v>0.2</v>
      </c>
      <c r="D22" s="262">
        <f>B2</f>
        <v>70.4</v>
      </c>
      <c r="E22" s="252">
        <f t="shared" si="2"/>
        <v>2.652753623</v>
      </c>
      <c r="F22" s="267">
        <f>I_Cout_ss+C22</f>
        <v>0.52</v>
      </c>
      <c r="G22" s="267">
        <f t="shared" si="3"/>
        <v>0.52</v>
      </c>
      <c r="H22" s="267">
        <f t="shared" si="4"/>
        <v>0.32</v>
      </c>
      <c r="I22" s="266">
        <f>(COUTMAX/1000000)*(B22-B21)/H22</f>
        <v>0.002704326923</v>
      </c>
      <c r="J22" s="266">
        <f t="shared" si="9"/>
        <v>0.03245192308</v>
      </c>
      <c r="K22" s="291">
        <f t="shared" si="5"/>
        <v>32.45192308</v>
      </c>
      <c r="L22" s="268">
        <f t="shared" si="6"/>
        <v>0.6153846154</v>
      </c>
      <c r="M22" s="11">
        <f>1/COUTMAX*(E22/2-C22)*1000</f>
        <v>0.3754589372</v>
      </c>
      <c r="N22" s="289">
        <f t="shared" si="7"/>
        <v>0.03731971154</v>
      </c>
      <c r="O22" s="11">
        <f t="shared" si="8"/>
        <v>13.8</v>
      </c>
      <c r="P22" s="11">
        <f>(A22-B22)*(I_Cout_ss*$Q$2+C22)</f>
        <v>16.98461538</v>
      </c>
      <c r="Q22" s="11">
        <f>(A22-B22)*(I_Cout_ss*$R$2+C22)</f>
        <v>10.61538462</v>
      </c>
      <c r="R22" s="11"/>
      <c r="S22" s="11"/>
      <c r="T22" s="11"/>
      <c r="U22" s="11"/>
      <c r="V22" s="11"/>
      <c r="W22" s="11"/>
      <c r="X22" s="295" t="s">
        <v>789</v>
      </c>
      <c r="Y22" s="295">
        <f>SQRT(Y21^2+Y20^2)</f>
        <v>0.2828427125</v>
      </c>
      <c r="Z22" s="11"/>
      <c r="AA22" s="11"/>
      <c r="AB22" s="11"/>
      <c r="AC22" s="11"/>
    </row>
    <row r="23" ht="12.0" customHeight="1">
      <c r="A23" s="11">
        <f>VINMAX</f>
        <v>30</v>
      </c>
      <c r="B23" s="292">
        <f>VINMAX*((ROW()-10)/104)</f>
        <v>3.75</v>
      </c>
      <c r="C23" s="267">
        <f t="shared" si="1"/>
        <v>0.2</v>
      </c>
      <c r="D23" s="262">
        <f>B2</f>
        <v>70.4</v>
      </c>
      <c r="E23" s="252">
        <f t="shared" si="2"/>
        <v>2.681904762</v>
      </c>
      <c r="F23" s="267">
        <f>I_Cout_ss+C23</f>
        <v>0.52</v>
      </c>
      <c r="G23" s="267">
        <f t="shared" si="3"/>
        <v>0.52</v>
      </c>
      <c r="H23" s="267">
        <f t="shared" si="4"/>
        <v>0.32</v>
      </c>
      <c r="I23" s="266">
        <f>(COUTMAX/1000000)*(B23-B22)/H23</f>
        <v>0.002704326923</v>
      </c>
      <c r="J23" s="266">
        <f t="shared" si="9"/>
        <v>0.03515625</v>
      </c>
      <c r="K23" s="291">
        <f t="shared" si="5"/>
        <v>35.15625</v>
      </c>
      <c r="L23" s="268">
        <f t="shared" si="6"/>
        <v>0.6153846154</v>
      </c>
      <c r="M23" s="11">
        <f>1/COUTMAX*(E23/2-C23)*1000</f>
        <v>0.3803174603</v>
      </c>
      <c r="N23" s="289">
        <f t="shared" si="7"/>
        <v>0.0369140625</v>
      </c>
      <c r="O23" s="11">
        <f t="shared" si="8"/>
        <v>13.65</v>
      </c>
      <c r="P23" s="11">
        <f>(A23-B23)*(I_Cout_ss*$Q$2+C23)</f>
        <v>16.8</v>
      </c>
      <c r="Q23" s="11">
        <f>(A23-B23)*(I_Cout_ss*$R$2+C23)</f>
        <v>10.5</v>
      </c>
      <c r="R23" s="11"/>
      <c r="S23" s="11"/>
      <c r="T23" s="11"/>
      <c r="U23" s="11"/>
      <c r="V23" s="11"/>
      <c r="W23" s="11"/>
      <c r="X23" s="295"/>
      <c r="Y23" s="295"/>
      <c r="Z23" s="11"/>
      <c r="AA23" s="11"/>
      <c r="AB23" s="11"/>
      <c r="AC23" s="11"/>
    </row>
    <row r="24" ht="12.0" customHeight="1">
      <c r="A24" s="11">
        <f>VINMAX</f>
        <v>30</v>
      </c>
      <c r="B24" s="292">
        <f>VINMAX*((ROW()-10)/104)</f>
        <v>4.038461538</v>
      </c>
      <c r="C24" s="267">
        <f t="shared" si="1"/>
        <v>0.2</v>
      </c>
      <c r="D24" s="262">
        <f>B2</f>
        <v>70.4</v>
      </c>
      <c r="E24" s="252">
        <f t="shared" si="2"/>
        <v>2.711703704</v>
      </c>
      <c r="F24" s="267">
        <f>I_Cout_ss+C24</f>
        <v>0.52</v>
      </c>
      <c r="G24" s="267">
        <f t="shared" si="3"/>
        <v>0.52</v>
      </c>
      <c r="H24" s="267">
        <f t="shared" si="4"/>
        <v>0.32</v>
      </c>
      <c r="I24" s="266">
        <f>(COUTMAX/1000000)*(B24-B23)/H24</f>
        <v>0.002704326923</v>
      </c>
      <c r="J24" s="266">
        <f t="shared" si="9"/>
        <v>0.03786057692</v>
      </c>
      <c r="K24" s="291">
        <f t="shared" si="5"/>
        <v>37.86057692</v>
      </c>
      <c r="L24" s="268">
        <f t="shared" si="6"/>
        <v>0.6153846154</v>
      </c>
      <c r="M24" s="11">
        <f>1/COUTMAX*(E24/2-C24)*1000</f>
        <v>0.3852839506</v>
      </c>
      <c r="N24" s="289">
        <f t="shared" si="7"/>
        <v>0.03650841346</v>
      </c>
      <c r="O24" s="11">
        <f t="shared" si="8"/>
        <v>13.5</v>
      </c>
      <c r="P24" s="11">
        <f>(A24-B24)*(I_Cout_ss*$Q$2+C24)</f>
        <v>16.61538462</v>
      </c>
      <c r="Q24" s="11">
        <f>(A24-B24)*(I_Cout_ss*$R$2+C24)</f>
        <v>10.38461538</v>
      </c>
      <c r="R24" s="11"/>
      <c r="S24" s="11"/>
      <c r="T24" s="11"/>
      <c r="U24" s="11"/>
      <c r="V24" s="11"/>
      <c r="W24" s="11"/>
      <c r="X24" s="295" t="s">
        <v>793</v>
      </c>
      <c r="Y24" s="295">
        <f>SQRT(Y18^2+Y22^2)</f>
        <v>0.5099019514</v>
      </c>
      <c r="Z24" s="11"/>
      <c r="AA24" s="11"/>
      <c r="AB24" s="11"/>
      <c r="AC24" s="11"/>
    </row>
    <row r="25" ht="12.0" customHeight="1">
      <c r="A25" s="11">
        <f>VINMAX</f>
        <v>30</v>
      </c>
      <c r="B25" s="292">
        <f>VINMAX*((ROW()-10)/104)</f>
        <v>4.326923077</v>
      </c>
      <c r="C25" s="267">
        <f t="shared" si="1"/>
        <v>0.2</v>
      </c>
      <c r="D25" s="262">
        <f>B2</f>
        <v>70.4</v>
      </c>
      <c r="E25" s="252">
        <f t="shared" si="2"/>
        <v>2.742172285</v>
      </c>
      <c r="F25" s="267">
        <f>I_Cout_ss+C25</f>
        <v>0.52</v>
      </c>
      <c r="G25" s="267">
        <f t="shared" si="3"/>
        <v>0.52</v>
      </c>
      <c r="H25" s="267">
        <f t="shared" si="4"/>
        <v>0.32</v>
      </c>
      <c r="I25" s="266">
        <f>(COUTMAX/1000000)*(B25-B24)/H25</f>
        <v>0.002704326923</v>
      </c>
      <c r="J25" s="266">
        <f t="shared" si="9"/>
        <v>0.04056490385</v>
      </c>
      <c r="K25" s="291">
        <f t="shared" si="5"/>
        <v>40.56490385</v>
      </c>
      <c r="L25" s="268">
        <f t="shared" si="6"/>
        <v>0.6153846154</v>
      </c>
      <c r="M25" s="11">
        <f>1/COUTMAX*(E25/2-C25)*1000</f>
        <v>0.3903620474</v>
      </c>
      <c r="N25" s="289">
        <f t="shared" si="7"/>
        <v>0.03610276442</v>
      </c>
      <c r="O25" s="11">
        <f t="shared" si="8"/>
        <v>13.35</v>
      </c>
      <c r="P25" s="11">
        <f>(A25-B25)*(I_Cout_ss*$Q$2+C25)</f>
        <v>16.43076923</v>
      </c>
      <c r="Q25" s="11">
        <f>(A25-B25)*(I_Cout_ss*$R$2+C25)</f>
        <v>10.26923077</v>
      </c>
      <c r="R25" s="11"/>
      <c r="S25" s="11"/>
      <c r="T25" s="11"/>
      <c r="U25" s="11"/>
      <c r="V25" s="11"/>
      <c r="W25" s="11"/>
      <c r="X25" s="11"/>
      <c r="Y25" s="11"/>
      <c r="Z25" s="11"/>
      <c r="AA25" s="11"/>
      <c r="AB25" s="11"/>
      <c r="AC25" s="11"/>
    </row>
    <row r="26" ht="12.0" customHeight="1">
      <c r="A26" s="11">
        <f>VINMAX</f>
        <v>30</v>
      </c>
      <c r="B26" s="292">
        <f>VINMAX*((ROW()-10)/104)</f>
        <v>4.615384615</v>
      </c>
      <c r="C26" s="267">
        <f t="shared" si="1"/>
        <v>0.2</v>
      </c>
      <c r="D26" s="262">
        <f>B2</f>
        <v>70.4</v>
      </c>
      <c r="E26" s="252">
        <f t="shared" si="2"/>
        <v>2.773333333</v>
      </c>
      <c r="F26" s="267">
        <f>I_Cout_ss+C26</f>
        <v>0.52</v>
      </c>
      <c r="G26" s="267">
        <f t="shared" si="3"/>
        <v>0.52</v>
      </c>
      <c r="H26" s="267">
        <f t="shared" si="4"/>
        <v>0.32</v>
      </c>
      <c r="I26" s="266">
        <f>(COUTMAX/1000000)*(B26-B25)/H26</f>
        <v>0.002704326923</v>
      </c>
      <c r="J26" s="266">
        <f t="shared" si="9"/>
        <v>0.04326923077</v>
      </c>
      <c r="K26" s="291">
        <f t="shared" si="5"/>
        <v>43.26923077</v>
      </c>
      <c r="L26" s="268">
        <f t="shared" si="6"/>
        <v>0.6153846154</v>
      </c>
      <c r="M26" s="11">
        <f>1/COUTMAX*(E26/2-C26)*1000</f>
        <v>0.3955555556</v>
      </c>
      <c r="N26" s="289">
        <f t="shared" si="7"/>
        <v>0.03569711538</v>
      </c>
      <c r="O26" s="11">
        <f t="shared" si="8"/>
        <v>13.2</v>
      </c>
      <c r="P26" s="11">
        <f>(A26-B26)*(I_Cout_ss*$Q$2+C26)</f>
        <v>16.24615385</v>
      </c>
      <c r="Q26" s="11">
        <f>(A26-B26)*(I_Cout_ss*$R$2+C26)</f>
        <v>10.15384615</v>
      </c>
      <c r="R26" s="11"/>
      <c r="S26" s="11"/>
      <c r="T26" s="11"/>
      <c r="U26" s="11"/>
      <c r="V26" s="11"/>
      <c r="W26" s="11"/>
      <c r="X26" s="11"/>
      <c r="Y26" s="11"/>
      <c r="Z26" s="11"/>
      <c r="AA26" s="11"/>
      <c r="AB26" s="11"/>
      <c r="AC26" s="11"/>
    </row>
    <row r="27" ht="12.0" customHeight="1">
      <c r="A27" s="11">
        <f>VINMAX</f>
        <v>30</v>
      </c>
      <c r="B27" s="292">
        <f>VINMAX*((ROW()-10)/104)</f>
        <v>4.903846154</v>
      </c>
      <c r="C27" s="267">
        <f t="shared" si="1"/>
        <v>0.2</v>
      </c>
      <c r="D27" s="262">
        <f>B2</f>
        <v>70.4</v>
      </c>
      <c r="E27" s="252">
        <f t="shared" si="2"/>
        <v>2.805210728</v>
      </c>
      <c r="F27" s="267">
        <f>I_Cout_ss+C27</f>
        <v>0.52</v>
      </c>
      <c r="G27" s="267">
        <f t="shared" si="3"/>
        <v>0.52</v>
      </c>
      <c r="H27" s="267">
        <f t="shared" si="4"/>
        <v>0.32</v>
      </c>
      <c r="I27" s="266">
        <f>(COUTMAX/1000000)*(B27-B26)/H27</f>
        <v>0.002704326923</v>
      </c>
      <c r="J27" s="266">
        <f t="shared" si="9"/>
        <v>0.04597355769</v>
      </c>
      <c r="K27" s="291">
        <f t="shared" si="5"/>
        <v>45.97355769</v>
      </c>
      <c r="L27" s="268">
        <f t="shared" si="6"/>
        <v>0.6153846154</v>
      </c>
      <c r="M27" s="11">
        <f>1/COUTMAX*(E27/2-C27)*1000</f>
        <v>0.4008684547</v>
      </c>
      <c r="N27" s="289">
        <f t="shared" si="7"/>
        <v>0.03529146635</v>
      </c>
      <c r="O27" s="11">
        <f t="shared" si="8"/>
        <v>13.05</v>
      </c>
      <c r="P27" s="11">
        <f>(A27-B27)*(I_Cout_ss*$Q$2+C27)</f>
        <v>16.06153846</v>
      </c>
      <c r="Q27" s="11">
        <f>(A27-B27)*(I_Cout_ss*$R$2+C27)</f>
        <v>10.03846154</v>
      </c>
      <c r="R27" s="11"/>
      <c r="S27" s="11"/>
      <c r="T27" s="11"/>
      <c r="U27" s="11"/>
      <c r="V27" s="11"/>
      <c r="W27" s="11"/>
      <c r="X27" s="11"/>
      <c r="Y27" s="11"/>
      <c r="Z27" s="11"/>
      <c r="AA27" s="11"/>
      <c r="AB27" s="11"/>
      <c r="AC27" s="11"/>
    </row>
    <row r="28" ht="12.0" customHeight="1">
      <c r="A28" s="11">
        <f>VINMAX</f>
        <v>30</v>
      </c>
      <c r="B28" s="292">
        <f>VINMAX*((ROW()-10)/104)</f>
        <v>5.192307692</v>
      </c>
      <c r="C28" s="267">
        <f t="shared" si="1"/>
        <v>0.2</v>
      </c>
      <c r="D28" s="262">
        <f>B2</f>
        <v>70.4</v>
      </c>
      <c r="E28" s="252">
        <f t="shared" si="2"/>
        <v>2.837829457</v>
      </c>
      <c r="F28" s="267">
        <f>I_Cout_ss+C28</f>
        <v>0.52</v>
      </c>
      <c r="G28" s="267">
        <f t="shared" si="3"/>
        <v>0.52</v>
      </c>
      <c r="H28" s="267">
        <f t="shared" si="4"/>
        <v>0.32</v>
      </c>
      <c r="I28" s="266">
        <f>(COUTMAX/1000000)*(B28-B27)/H28</f>
        <v>0.002704326923</v>
      </c>
      <c r="J28" s="266">
        <f t="shared" si="9"/>
        <v>0.04867788462</v>
      </c>
      <c r="K28" s="291">
        <f t="shared" si="5"/>
        <v>48.67788462</v>
      </c>
      <c r="L28" s="268">
        <f t="shared" si="6"/>
        <v>0.6153846154</v>
      </c>
      <c r="M28" s="11">
        <f>1/COUTMAX*(E28/2-C28)*1000</f>
        <v>0.4063049096</v>
      </c>
      <c r="N28" s="289">
        <f t="shared" si="7"/>
        <v>0.03488581731</v>
      </c>
      <c r="O28" s="11">
        <f t="shared" si="8"/>
        <v>12.9</v>
      </c>
      <c r="P28" s="11">
        <f>(A28-B28)*(I_Cout_ss*$Q$2+C28)</f>
        <v>15.87692308</v>
      </c>
      <c r="Q28" s="11">
        <f>(A28-B28)*(I_Cout_ss*$R$2+C28)</f>
        <v>9.923076923</v>
      </c>
      <c r="R28" s="11"/>
      <c r="S28" s="11"/>
      <c r="T28" s="11"/>
      <c r="U28" s="11"/>
      <c r="V28" s="11"/>
      <c r="W28" s="11"/>
      <c r="X28" s="11"/>
      <c r="Y28" s="11"/>
      <c r="Z28" s="11"/>
      <c r="AA28" s="11"/>
      <c r="AB28" s="11"/>
      <c r="AC28" s="11"/>
    </row>
    <row r="29" ht="12.0" customHeight="1">
      <c r="A29" s="11">
        <f>VINMAX</f>
        <v>30</v>
      </c>
      <c r="B29" s="292">
        <f>VINMAX*((ROW()-10)/104)</f>
        <v>5.480769231</v>
      </c>
      <c r="C29" s="267">
        <f t="shared" si="1"/>
        <v>0.2</v>
      </c>
      <c r="D29" s="262">
        <f>B2</f>
        <v>70.4</v>
      </c>
      <c r="E29" s="252">
        <f t="shared" si="2"/>
        <v>2.871215686</v>
      </c>
      <c r="F29" s="267">
        <f>I_Cout_ss+C29</f>
        <v>0.52</v>
      </c>
      <c r="G29" s="267">
        <f t="shared" si="3"/>
        <v>0.52</v>
      </c>
      <c r="H29" s="267">
        <f t="shared" si="4"/>
        <v>0.32</v>
      </c>
      <c r="I29" s="266">
        <f>(COUTMAX/1000000)*(B29-B28)/H29</f>
        <v>0.002704326923</v>
      </c>
      <c r="J29" s="266">
        <f t="shared" si="9"/>
        <v>0.05138221154</v>
      </c>
      <c r="K29" s="291">
        <f t="shared" si="5"/>
        <v>51.38221154</v>
      </c>
      <c r="L29" s="268">
        <f t="shared" si="6"/>
        <v>0.6153846154</v>
      </c>
      <c r="M29" s="11">
        <f>1/COUTMAX*(E29/2-C29)*1000</f>
        <v>0.411869281</v>
      </c>
      <c r="N29" s="289">
        <f t="shared" si="7"/>
        <v>0.03448016827</v>
      </c>
      <c r="O29" s="11">
        <f t="shared" si="8"/>
        <v>12.75</v>
      </c>
      <c r="P29" s="11">
        <f>(A29-B29)*(I_Cout_ss*$Q$2+C29)</f>
        <v>15.69230769</v>
      </c>
      <c r="Q29" s="11">
        <f>(A29-B29)*(I_Cout_ss*$R$2+C29)</f>
        <v>9.807692308</v>
      </c>
      <c r="R29" s="11"/>
      <c r="S29" s="11"/>
      <c r="T29" s="11"/>
      <c r="U29" s="11"/>
      <c r="V29" s="11"/>
      <c r="W29" s="11"/>
      <c r="X29" s="11"/>
      <c r="Y29" s="11"/>
      <c r="Z29" s="11"/>
      <c r="AA29" s="11"/>
      <c r="AB29" s="11"/>
      <c r="AC29" s="11"/>
    </row>
    <row r="30" ht="12.0" customHeight="1">
      <c r="A30" s="11">
        <f>VINMAX</f>
        <v>30</v>
      </c>
      <c r="B30" s="292">
        <f>VINMAX*((ROW()-10)/104)</f>
        <v>5.769230769</v>
      </c>
      <c r="C30" s="267">
        <f t="shared" si="1"/>
        <v>0.2</v>
      </c>
      <c r="D30" s="262">
        <f>B2</f>
        <v>70.4</v>
      </c>
      <c r="E30" s="252">
        <f t="shared" si="2"/>
        <v>2.905396825</v>
      </c>
      <c r="F30" s="267">
        <f>I_Cout_ss+C30</f>
        <v>0.52</v>
      </c>
      <c r="G30" s="267">
        <f t="shared" si="3"/>
        <v>0.52</v>
      </c>
      <c r="H30" s="267">
        <f t="shared" si="4"/>
        <v>0.32</v>
      </c>
      <c r="I30" s="266">
        <f>(COUTMAX/1000000)*(B30-B29)/H30</f>
        <v>0.002704326923</v>
      </c>
      <c r="J30" s="266">
        <f t="shared" si="9"/>
        <v>0.05408653846</v>
      </c>
      <c r="K30" s="291">
        <f t="shared" si="5"/>
        <v>54.08653846</v>
      </c>
      <c r="L30" s="268">
        <f t="shared" si="6"/>
        <v>0.6153846154</v>
      </c>
      <c r="M30" s="11">
        <f>1/COUTMAX*(E30/2-C30)*1000</f>
        <v>0.4175661376</v>
      </c>
      <c r="N30" s="289">
        <f t="shared" si="7"/>
        <v>0.03407451923</v>
      </c>
      <c r="O30" s="11">
        <f t="shared" si="8"/>
        <v>12.6</v>
      </c>
      <c r="P30" s="11">
        <f>(A30-B30)*(I_Cout_ss*$Q$2+C30)</f>
        <v>15.50769231</v>
      </c>
      <c r="Q30" s="11">
        <f>(A30-B30)*(I_Cout_ss*$R$2+C30)</f>
        <v>9.692307692</v>
      </c>
      <c r="R30" s="11"/>
      <c r="S30" s="11"/>
      <c r="T30" s="11"/>
      <c r="U30" s="11"/>
      <c r="V30" s="11"/>
      <c r="W30" s="11"/>
      <c r="X30" s="11"/>
      <c r="Y30" s="11"/>
      <c r="Z30" s="11"/>
      <c r="AA30" s="11"/>
      <c r="AB30" s="11"/>
      <c r="AC30" s="11"/>
    </row>
    <row r="31" ht="12.0" customHeight="1">
      <c r="A31" s="11">
        <f>VINMAX</f>
        <v>30</v>
      </c>
      <c r="B31" s="292">
        <f>VINMAX*((ROW()-10)/104)</f>
        <v>6.057692308</v>
      </c>
      <c r="C31" s="267">
        <f t="shared" si="1"/>
        <v>0.2</v>
      </c>
      <c r="D31" s="262">
        <f>B2</f>
        <v>70.4</v>
      </c>
      <c r="E31" s="252">
        <f t="shared" si="2"/>
        <v>2.940401606</v>
      </c>
      <c r="F31" s="267">
        <f>I_Cout_ss+C31</f>
        <v>0.52</v>
      </c>
      <c r="G31" s="267">
        <f t="shared" si="3"/>
        <v>0.52</v>
      </c>
      <c r="H31" s="267">
        <f t="shared" si="4"/>
        <v>0.32</v>
      </c>
      <c r="I31" s="266">
        <f>(COUTMAX/1000000)*(B31-B30)/H31</f>
        <v>0.002704326923</v>
      </c>
      <c r="J31" s="266">
        <f t="shared" si="9"/>
        <v>0.05679086538</v>
      </c>
      <c r="K31" s="291">
        <f t="shared" si="5"/>
        <v>56.79086538</v>
      </c>
      <c r="L31" s="268">
        <f t="shared" si="6"/>
        <v>0.6153846154</v>
      </c>
      <c r="M31" s="11">
        <f>1/COUTMAX*(E31/2-C31)*1000</f>
        <v>0.4234002677</v>
      </c>
      <c r="N31" s="289">
        <f t="shared" si="7"/>
        <v>0.03366887019</v>
      </c>
      <c r="O31" s="11">
        <f t="shared" si="8"/>
        <v>12.45</v>
      </c>
      <c r="P31" s="11">
        <f>(A31-B31)*(I_Cout_ss*$Q$2+C31)</f>
        <v>15.32307692</v>
      </c>
      <c r="Q31" s="11">
        <f>(A31-B31)*(I_Cout_ss*$R$2+C31)</f>
        <v>9.576923077</v>
      </c>
      <c r="R31" s="11"/>
      <c r="S31" s="11"/>
      <c r="T31" s="11"/>
      <c r="U31" s="11"/>
      <c r="V31" s="11"/>
      <c r="W31" s="11"/>
      <c r="X31" s="11"/>
      <c r="Y31" s="11"/>
      <c r="Z31" s="11"/>
      <c r="AA31" s="11"/>
      <c r="AB31" s="11"/>
      <c r="AC31" s="11"/>
    </row>
    <row r="32" ht="12.0" customHeight="1">
      <c r="A32" s="11">
        <f>VINMAX</f>
        <v>30</v>
      </c>
      <c r="B32" s="292">
        <f>VINMAX*((ROW()-10)/104)</f>
        <v>6.346153846</v>
      </c>
      <c r="C32" s="267">
        <f t="shared" si="1"/>
        <v>0.2</v>
      </c>
      <c r="D32" s="262">
        <f>B2</f>
        <v>70.4</v>
      </c>
      <c r="E32" s="252">
        <f t="shared" si="2"/>
        <v>2.976260163</v>
      </c>
      <c r="F32" s="267">
        <f>I_Cout_ss+C32</f>
        <v>0.52</v>
      </c>
      <c r="G32" s="267">
        <f t="shared" si="3"/>
        <v>0.52</v>
      </c>
      <c r="H32" s="267">
        <f t="shared" si="4"/>
        <v>0.32</v>
      </c>
      <c r="I32" s="266">
        <f>(COUTMAX/1000000)*(B32-B31)/H32</f>
        <v>0.002704326923</v>
      </c>
      <c r="J32" s="266">
        <f t="shared" si="9"/>
        <v>0.05949519231</v>
      </c>
      <c r="K32" s="291">
        <f t="shared" si="5"/>
        <v>59.49519231</v>
      </c>
      <c r="L32" s="268">
        <f t="shared" si="6"/>
        <v>0.6153846154</v>
      </c>
      <c r="M32" s="11">
        <f>1/COUTMAX*(E32/2-C32)*1000</f>
        <v>0.4293766938</v>
      </c>
      <c r="N32" s="289">
        <f t="shared" si="7"/>
        <v>0.03326322115</v>
      </c>
      <c r="O32" s="11">
        <f t="shared" si="8"/>
        <v>12.3</v>
      </c>
      <c r="P32" s="11">
        <f>(A32-B32)*(I_Cout_ss*$Q$2+C32)</f>
        <v>15.13846154</v>
      </c>
      <c r="Q32" s="11">
        <f>(A32-B32)*(I_Cout_ss*$R$2+C32)</f>
        <v>9.461538462</v>
      </c>
      <c r="R32" s="11"/>
      <c r="S32" s="11"/>
      <c r="T32" s="11"/>
      <c r="U32" s="11"/>
      <c r="V32" s="11"/>
      <c r="W32" s="11"/>
      <c r="X32" s="11"/>
      <c r="Y32" s="11"/>
      <c r="Z32" s="11"/>
      <c r="AA32" s="11"/>
      <c r="AB32" s="11"/>
      <c r="AC32" s="11"/>
    </row>
    <row r="33" ht="12.0" customHeight="1">
      <c r="A33" s="11">
        <f>VINMAX</f>
        <v>30</v>
      </c>
      <c r="B33" s="292">
        <f>VINMAX*((ROW()-10)/104)</f>
        <v>6.634615385</v>
      </c>
      <c r="C33" s="267">
        <f t="shared" si="1"/>
        <v>0.2</v>
      </c>
      <c r="D33" s="262">
        <f>B2</f>
        <v>70.4</v>
      </c>
      <c r="E33" s="252">
        <f t="shared" si="2"/>
        <v>3.013004115</v>
      </c>
      <c r="F33" s="267">
        <f>I_Cout_ss+C33</f>
        <v>0.52</v>
      </c>
      <c r="G33" s="267">
        <f t="shared" si="3"/>
        <v>0.52</v>
      </c>
      <c r="H33" s="267">
        <f t="shared" si="4"/>
        <v>0.32</v>
      </c>
      <c r="I33" s="266">
        <f>(COUTMAX/1000000)*(B33-B32)/H33</f>
        <v>0.002704326923</v>
      </c>
      <c r="J33" s="266">
        <f t="shared" si="9"/>
        <v>0.06219951923</v>
      </c>
      <c r="K33" s="291">
        <f t="shared" si="5"/>
        <v>62.19951923</v>
      </c>
      <c r="L33" s="268">
        <f t="shared" si="6"/>
        <v>0.6153846154</v>
      </c>
      <c r="M33" s="11">
        <f>1/COUTMAX*(E33/2-C33)*1000</f>
        <v>0.4355006859</v>
      </c>
      <c r="N33" s="289">
        <f t="shared" si="7"/>
        <v>0.03285757212</v>
      </c>
      <c r="O33" s="11">
        <f t="shared" si="8"/>
        <v>12.15</v>
      </c>
      <c r="P33" s="11">
        <f>(A33-B33)*(I_Cout_ss*$Q$2+C33)</f>
        <v>14.95384615</v>
      </c>
      <c r="Q33" s="11">
        <f>(A33-B33)*(I_Cout_ss*$R$2+C33)</f>
        <v>9.346153846</v>
      </c>
      <c r="R33" s="11"/>
      <c r="S33" s="11"/>
      <c r="T33" s="11"/>
      <c r="U33" s="11"/>
      <c r="V33" s="11"/>
      <c r="W33" s="11"/>
      <c r="X33" s="11"/>
      <c r="Y33" s="11"/>
      <c r="Z33" s="11"/>
      <c r="AA33" s="11"/>
      <c r="AB33" s="11"/>
      <c r="AC33" s="11"/>
    </row>
    <row r="34" ht="12.0" customHeight="1">
      <c r="A34" s="11">
        <f>VINMAX</f>
        <v>30</v>
      </c>
      <c r="B34" s="292">
        <f>VINMAX*((ROW()-10)/104)</f>
        <v>6.923076923</v>
      </c>
      <c r="C34" s="267">
        <f t="shared" si="1"/>
        <v>0.2</v>
      </c>
      <c r="D34" s="262">
        <f>B2</f>
        <v>70.4</v>
      </c>
      <c r="E34" s="252">
        <f t="shared" si="2"/>
        <v>3.050666667</v>
      </c>
      <c r="F34" s="267">
        <f>I_Cout_ss+C34</f>
        <v>0.52</v>
      </c>
      <c r="G34" s="267">
        <f t="shared" si="3"/>
        <v>0.52</v>
      </c>
      <c r="H34" s="267">
        <f t="shared" si="4"/>
        <v>0.32</v>
      </c>
      <c r="I34" s="266">
        <f>(COUTMAX/1000000)*(B34-B33)/H34</f>
        <v>0.002704326923</v>
      </c>
      <c r="J34" s="266">
        <f t="shared" si="9"/>
        <v>0.06490384615</v>
      </c>
      <c r="K34" s="291">
        <f t="shared" si="5"/>
        <v>64.90384615</v>
      </c>
      <c r="L34" s="268">
        <f t="shared" si="6"/>
        <v>0.6153846154</v>
      </c>
      <c r="M34" s="11">
        <f>1/COUTMAX*(E34/2-C34)*1000</f>
        <v>0.4417777778</v>
      </c>
      <c r="N34" s="289">
        <f t="shared" si="7"/>
        <v>0.03245192308</v>
      </c>
      <c r="O34" s="11">
        <f t="shared" si="8"/>
        <v>12</v>
      </c>
      <c r="P34" s="11">
        <f>(A34-B34)*(I_Cout_ss*$Q$2+C34)</f>
        <v>14.76923077</v>
      </c>
      <c r="Q34" s="11">
        <f>(A34-B34)*(I_Cout_ss*$R$2+C34)</f>
        <v>9.230769231</v>
      </c>
      <c r="R34" s="11"/>
      <c r="S34" s="11"/>
      <c r="T34" s="11"/>
      <c r="U34" s="11"/>
      <c r="V34" s="11"/>
      <c r="W34" s="11"/>
      <c r="X34" s="11"/>
      <c r="Y34" s="11"/>
      <c r="Z34" s="11"/>
      <c r="AA34" s="11"/>
      <c r="AB34" s="11"/>
      <c r="AC34" s="11"/>
    </row>
    <row r="35" ht="12.0" customHeight="1">
      <c r="A35" s="11">
        <f>VINMAX</f>
        <v>30</v>
      </c>
      <c r="B35" s="292">
        <f>VINMAX*((ROW()-10)/104)</f>
        <v>7.211538462</v>
      </c>
      <c r="C35" s="267">
        <f t="shared" si="1"/>
        <v>0.2</v>
      </c>
      <c r="D35" s="262">
        <f>B2</f>
        <v>70.4</v>
      </c>
      <c r="E35" s="252">
        <f t="shared" si="2"/>
        <v>3.0892827</v>
      </c>
      <c r="F35" s="267">
        <f>I_Cout_ss+C35</f>
        <v>0.52</v>
      </c>
      <c r="G35" s="267">
        <f t="shared" si="3"/>
        <v>0.52</v>
      </c>
      <c r="H35" s="267">
        <f t="shared" si="4"/>
        <v>0.32</v>
      </c>
      <c r="I35" s="266">
        <f>(COUTMAX/1000000)*(B35-B34)/H35</f>
        <v>0.002704326923</v>
      </c>
      <c r="J35" s="266">
        <f t="shared" si="9"/>
        <v>0.06760817308</v>
      </c>
      <c r="K35" s="291">
        <f t="shared" si="5"/>
        <v>67.60817308</v>
      </c>
      <c r="L35" s="268">
        <f t="shared" si="6"/>
        <v>0.6153846154</v>
      </c>
      <c r="M35" s="11">
        <f>1/COUTMAX*(E35/2-C35)*1000</f>
        <v>0.4482137834</v>
      </c>
      <c r="N35" s="289">
        <f t="shared" si="7"/>
        <v>0.03204627404</v>
      </c>
      <c r="O35" s="11">
        <f t="shared" si="8"/>
        <v>11.85</v>
      </c>
      <c r="P35" s="11">
        <f>(A35-B35)*(I_Cout_ss*$Q$2+C35)</f>
        <v>14.58461538</v>
      </c>
      <c r="Q35" s="11">
        <f>(A35-B35)*(I_Cout_ss*$R$2+C35)</f>
        <v>9.115384615</v>
      </c>
      <c r="R35" s="11"/>
      <c r="S35" s="11"/>
      <c r="T35" s="11"/>
      <c r="U35" s="11"/>
      <c r="V35" s="11"/>
      <c r="W35" s="11"/>
      <c r="X35" s="11"/>
      <c r="Y35" s="11"/>
      <c r="Z35" s="11"/>
      <c r="AA35" s="11"/>
      <c r="AB35" s="11"/>
      <c r="AC35" s="11"/>
    </row>
    <row r="36" ht="12.0" customHeight="1">
      <c r="A36" s="11">
        <f>VINMAX</f>
        <v>30</v>
      </c>
      <c r="B36" s="292">
        <f>VINMAX*((ROW()-10)/104)</f>
        <v>7.5</v>
      </c>
      <c r="C36" s="267">
        <f t="shared" si="1"/>
        <v>0.2</v>
      </c>
      <c r="D36" s="262">
        <f>B2</f>
        <v>70.4</v>
      </c>
      <c r="E36" s="252">
        <f t="shared" si="2"/>
        <v>3.128888889</v>
      </c>
      <c r="F36" s="267">
        <f>I_Cout_ss+C36</f>
        <v>0.52</v>
      </c>
      <c r="G36" s="267">
        <f t="shared" si="3"/>
        <v>0.52</v>
      </c>
      <c r="H36" s="267">
        <f t="shared" si="4"/>
        <v>0.32</v>
      </c>
      <c r="I36" s="266">
        <f>(COUTMAX/1000000)*(B36-B35)/H36</f>
        <v>0.002704326923</v>
      </c>
      <c r="J36" s="266">
        <f t="shared" si="9"/>
        <v>0.0703125</v>
      </c>
      <c r="K36" s="291">
        <f t="shared" si="5"/>
        <v>70.3125</v>
      </c>
      <c r="L36" s="268">
        <f t="shared" si="6"/>
        <v>0.6153846154</v>
      </c>
      <c r="M36" s="11">
        <f>1/COUTMAX*(E36/2-C36)*1000</f>
        <v>0.4548148148</v>
      </c>
      <c r="N36" s="289">
        <f t="shared" si="7"/>
        <v>0.031640625</v>
      </c>
      <c r="O36" s="11">
        <f t="shared" si="8"/>
        <v>11.7</v>
      </c>
      <c r="P36" s="11">
        <f>(A36-B36)*(I_Cout_ss*$Q$2+C36)</f>
        <v>14.4</v>
      </c>
      <c r="Q36" s="11">
        <f>(A36-B36)*(I_Cout_ss*$R$2+C36)</f>
        <v>9</v>
      </c>
      <c r="R36" s="11"/>
      <c r="S36" s="11"/>
      <c r="T36" s="11"/>
      <c r="U36" s="11"/>
      <c r="V36" s="11"/>
      <c r="W36" s="11"/>
      <c r="X36" s="11"/>
      <c r="Y36" s="11"/>
      <c r="Z36" s="11"/>
      <c r="AA36" s="11"/>
      <c r="AB36" s="11"/>
      <c r="AC36" s="11"/>
    </row>
    <row r="37" ht="12.0" customHeight="1">
      <c r="A37" s="11">
        <f>VINMAX</f>
        <v>30</v>
      </c>
      <c r="B37" s="292">
        <f>VINMAX*((ROW()-10)/104)</f>
        <v>7.788461538</v>
      </c>
      <c r="C37" s="267">
        <f t="shared" si="1"/>
        <v>0.2</v>
      </c>
      <c r="D37" s="262">
        <f>B2</f>
        <v>70.4</v>
      </c>
      <c r="E37" s="252">
        <f t="shared" si="2"/>
        <v>3.16952381</v>
      </c>
      <c r="F37" s="267">
        <f>I_Cout_ss+C37</f>
        <v>0.52</v>
      </c>
      <c r="G37" s="267">
        <f t="shared" si="3"/>
        <v>0.52</v>
      </c>
      <c r="H37" s="267">
        <f t="shared" si="4"/>
        <v>0.32</v>
      </c>
      <c r="I37" s="266">
        <f>(COUTMAX/1000000)*(B37-B36)/H37</f>
        <v>0.002704326923</v>
      </c>
      <c r="J37" s="266">
        <f t="shared" si="9"/>
        <v>0.07301682692</v>
      </c>
      <c r="K37" s="291">
        <f t="shared" si="5"/>
        <v>73.01682692</v>
      </c>
      <c r="L37" s="268">
        <f t="shared" si="6"/>
        <v>0.6153846154</v>
      </c>
      <c r="M37" s="11">
        <f>1/COUTMAX*(E37/2-C37)*1000</f>
        <v>0.4615873016</v>
      </c>
      <c r="N37" s="289">
        <f t="shared" si="7"/>
        <v>0.03123497596</v>
      </c>
      <c r="O37" s="11">
        <f t="shared" si="8"/>
        <v>11.55</v>
      </c>
      <c r="P37" s="11">
        <f>(A37-B37)*(I_Cout_ss*$Q$2+C37)</f>
        <v>14.21538462</v>
      </c>
      <c r="Q37" s="11">
        <f>(A37-B37)*(I_Cout_ss*$R$2+C37)</f>
        <v>8.884615385</v>
      </c>
      <c r="R37" s="11"/>
      <c r="S37" s="11"/>
      <c r="T37" s="11"/>
      <c r="U37" s="11"/>
      <c r="V37" s="11"/>
      <c r="W37" s="11"/>
      <c r="X37" s="11"/>
      <c r="Y37" s="11"/>
      <c r="Z37" s="11"/>
      <c r="AA37" s="11"/>
      <c r="AB37" s="11"/>
      <c r="AC37" s="11"/>
    </row>
    <row r="38" ht="12.0" customHeight="1">
      <c r="A38" s="11">
        <f>VINMAX</f>
        <v>30</v>
      </c>
      <c r="B38" s="292">
        <f>VINMAX*((ROW()-10)/104)</f>
        <v>8.076923077</v>
      </c>
      <c r="C38" s="267">
        <f t="shared" si="1"/>
        <v>0.2</v>
      </c>
      <c r="D38" s="262">
        <f>B2</f>
        <v>70.4</v>
      </c>
      <c r="E38" s="252">
        <f t="shared" si="2"/>
        <v>3.21122807</v>
      </c>
      <c r="F38" s="267">
        <f>I_Cout_ss+C38</f>
        <v>0.52</v>
      </c>
      <c r="G38" s="267">
        <f t="shared" si="3"/>
        <v>0.52</v>
      </c>
      <c r="H38" s="267">
        <f t="shared" si="4"/>
        <v>0.32</v>
      </c>
      <c r="I38" s="266">
        <f>(COUTMAX/1000000)*(B38-B37)/H38</f>
        <v>0.002704326923</v>
      </c>
      <c r="J38" s="266">
        <f t="shared" si="9"/>
        <v>0.07572115385</v>
      </c>
      <c r="K38" s="291">
        <f t="shared" si="5"/>
        <v>75.72115385</v>
      </c>
      <c r="L38" s="268">
        <f t="shared" si="6"/>
        <v>0.6153846154</v>
      </c>
      <c r="M38" s="11">
        <f>1/COUTMAX*(E38/2-C38)*1000</f>
        <v>0.4685380117</v>
      </c>
      <c r="N38" s="289">
        <f t="shared" si="7"/>
        <v>0.03082932692</v>
      </c>
      <c r="O38" s="11">
        <f t="shared" si="8"/>
        <v>11.4</v>
      </c>
      <c r="P38" s="11">
        <f>(A38-B38)*(I_Cout_ss*$Q$2+C38)</f>
        <v>14.03076923</v>
      </c>
      <c r="Q38" s="11">
        <f>(A38-B38)*(I_Cout_ss*$R$2+C38)</f>
        <v>8.769230769</v>
      </c>
      <c r="R38" s="11"/>
      <c r="S38" s="11"/>
      <c r="T38" s="11"/>
      <c r="U38" s="11"/>
      <c r="V38" s="11"/>
      <c r="W38" s="11"/>
      <c r="X38" s="11"/>
      <c r="Y38" s="11"/>
      <c r="Z38" s="11"/>
      <c r="AA38" s="11"/>
      <c r="AB38" s="11"/>
      <c r="AC38" s="11"/>
    </row>
    <row r="39" ht="12.0" customHeight="1">
      <c r="A39" s="11">
        <f>VINMAX</f>
        <v>30</v>
      </c>
      <c r="B39" s="292">
        <f>VINMAX*((ROW()-10)/104)</f>
        <v>8.365384615</v>
      </c>
      <c r="C39" s="267">
        <f t="shared" si="1"/>
        <v>0.2</v>
      </c>
      <c r="D39" s="262">
        <f>B2</f>
        <v>70.4</v>
      </c>
      <c r="E39" s="252">
        <f t="shared" si="2"/>
        <v>3.254044444</v>
      </c>
      <c r="F39" s="267">
        <f>I_Cout_ss+C39</f>
        <v>0.52</v>
      </c>
      <c r="G39" s="267">
        <f t="shared" si="3"/>
        <v>0.52</v>
      </c>
      <c r="H39" s="267">
        <f t="shared" si="4"/>
        <v>0.32</v>
      </c>
      <c r="I39" s="266">
        <f>(COUTMAX/1000000)*(B39-B38)/H39</f>
        <v>0.002704326923</v>
      </c>
      <c r="J39" s="266">
        <f t="shared" si="9"/>
        <v>0.07842548077</v>
      </c>
      <c r="K39" s="291">
        <f t="shared" si="5"/>
        <v>78.42548077</v>
      </c>
      <c r="L39" s="268">
        <f t="shared" si="6"/>
        <v>0.6153846154</v>
      </c>
      <c r="M39" s="11">
        <f>1/COUTMAX*(E39/2-C39)*1000</f>
        <v>0.4756740741</v>
      </c>
      <c r="N39" s="289">
        <f t="shared" si="7"/>
        <v>0.03042367788</v>
      </c>
      <c r="O39" s="11">
        <f t="shared" si="8"/>
        <v>11.25</v>
      </c>
      <c r="P39" s="11">
        <f>(A39-B39)*(I_Cout_ss*$Q$2+C39)</f>
        <v>13.84615385</v>
      </c>
      <c r="Q39" s="11">
        <f>(A39-B39)*(I_Cout_ss*$R$2+C39)</f>
        <v>8.653846154</v>
      </c>
      <c r="R39" s="11"/>
      <c r="S39" s="11"/>
      <c r="T39" s="11"/>
      <c r="U39" s="11"/>
      <c r="V39" s="11"/>
      <c r="W39" s="11"/>
      <c r="X39" s="11"/>
      <c r="Y39" s="11"/>
      <c r="Z39" s="11"/>
      <c r="AA39" s="11"/>
      <c r="AB39" s="11"/>
      <c r="AC39" s="11"/>
    </row>
    <row r="40" ht="12.0" customHeight="1">
      <c r="A40" s="11">
        <f>VINMAX</f>
        <v>30</v>
      </c>
      <c r="B40" s="292">
        <f>VINMAX*((ROW()-10)/104)</f>
        <v>8.653846154</v>
      </c>
      <c r="C40" s="267">
        <f t="shared" si="1"/>
        <v>0.2</v>
      </c>
      <c r="D40" s="262">
        <f>B2</f>
        <v>70.4</v>
      </c>
      <c r="E40" s="252">
        <f t="shared" si="2"/>
        <v>3.298018018</v>
      </c>
      <c r="F40" s="267">
        <f>I_Cout_ss+C40</f>
        <v>0.52</v>
      </c>
      <c r="G40" s="267">
        <f t="shared" si="3"/>
        <v>0.52</v>
      </c>
      <c r="H40" s="267">
        <f t="shared" si="4"/>
        <v>0.32</v>
      </c>
      <c r="I40" s="266">
        <f>(COUTMAX/1000000)*(B40-B39)/H40</f>
        <v>0.002704326923</v>
      </c>
      <c r="J40" s="266">
        <f t="shared" si="9"/>
        <v>0.08112980769</v>
      </c>
      <c r="K40" s="291">
        <f t="shared" si="5"/>
        <v>81.12980769</v>
      </c>
      <c r="L40" s="268">
        <f t="shared" si="6"/>
        <v>0.6153846154</v>
      </c>
      <c r="M40" s="11">
        <f>1/COUTMAX*(E40/2-C40)*1000</f>
        <v>0.483003003</v>
      </c>
      <c r="N40" s="289">
        <f t="shared" si="7"/>
        <v>0.03001802885</v>
      </c>
      <c r="O40" s="11">
        <f t="shared" si="8"/>
        <v>11.1</v>
      </c>
      <c r="P40" s="11">
        <f>(A40-B40)*(I_Cout_ss*$Q$2+C40)</f>
        <v>13.66153846</v>
      </c>
      <c r="Q40" s="11">
        <f>(A40-B40)*(I_Cout_ss*$R$2+C40)</f>
        <v>8.538461538</v>
      </c>
      <c r="R40" s="11"/>
      <c r="S40" s="11"/>
      <c r="T40" s="11"/>
      <c r="U40" s="11"/>
      <c r="V40" s="11"/>
      <c r="W40" s="11"/>
      <c r="X40" s="11"/>
      <c r="Y40" s="11"/>
      <c r="Z40" s="11"/>
      <c r="AA40" s="11"/>
      <c r="AB40" s="11"/>
      <c r="AC40" s="11"/>
    </row>
    <row r="41" ht="12.0" customHeight="1">
      <c r="A41" s="11">
        <f>VINMAX</f>
        <v>30</v>
      </c>
      <c r="B41" s="292">
        <f>VINMAX*((ROW()-10)/104)</f>
        <v>8.942307692</v>
      </c>
      <c r="C41" s="267">
        <f t="shared" si="1"/>
        <v>0.2</v>
      </c>
      <c r="D41" s="262">
        <f>B2</f>
        <v>70.4</v>
      </c>
      <c r="E41" s="252">
        <f t="shared" si="2"/>
        <v>3.343196347</v>
      </c>
      <c r="F41" s="267">
        <f>I_Cout_ss+C41</f>
        <v>0.52</v>
      </c>
      <c r="G41" s="267">
        <f t="shared" si="3"/>
        <v>0.52</v>
      </c>
      <c r="H41" s="267">
        <f t="shared" si="4"/>
        <v>0.32</v>
      </c>
      <c r="I41" s="266">
        <f>(COUTMAX/1000000)*(B41-B40)/H41</f>
        <v>0.002704326923</v>
      </c>
      <c r="J41" s="266">
        <f t="shared" si="9"/>
        <v>0.08383413462</v>
      </c>
      <c r="K41" s="291">
        <f t="shared" si="5"/>
        <v>83.83413462</v>
      </c>
      <c r="L41" s="268">
        <f t="shared" si="6"/>
        <v>0.6153846154</v>
      </c>
      <c r="M41" s="11">
        <f>1/COUTMAX*(E41/2-C41)*1000</f>
        <v>0.4905327245</v>
      </c>
      <c r="N41" s="289">
        <f t="shared" si="7"/>
        <v>0.02961237981</v>
      </c>
      <c r="O41" s="11">
        <f t="shared" si="8"/>
        <v>10.95</v>
      </c>
      <c r="P41" s="11">
        <f>(A41-B41)*(I_Cout_ss*$Q$2+C41)</f>
        <v>13.47692308</v>
      </c>
      <c r="Q41" s="11">
        <f>(A41-B41)*(I_Cout_ss*$R$2+C41)</f>
        <v>8.423076923</v>
      </c>
      <c r="R41" s="11"/>
      <c r="S41" s="11"/>
      <c r="T41" s="11"/>
      <c r="U41" s="11"/>
      <c r="V41" s="11"/>
      <c r="W41" s="11"/>
      <c r="X41" s="11"/>
      <c r="Y41" s="11"/>
      <c r="Z41" s="11"/>
      <c r="AA41" s="11"/>
      <c r="AB41" s="11"/>
      <c r="AC41" s="11"/>
    </row>
    <row r="42" ht="12.0" customHeight="1">
      <c r="A42" s="11">
        <f>VINMAX</f>
        <v>30</v>
      </c>
      <c r="B42" s="292">
        <f>VINMAX*((ROW()-10)/104)</f>
        <v>9.230769231</v>
      </c>
      <c r="C42" s="267">
        <f t="shared" si="1"/>
        <v>0.2</v>
      </c>
      <c r="D42" s="262">
        <f>B2</f>
        <v>70.4</v>
      </c>
      <c r="E42" s="252">
        <f t="shared" si="2"/>
        <v>3.38962963</v>
      </c>
      <c r="F42" s="267">
        <f>I_Cout_ss+C42</f>
        <v>0.52</v>
      </c>
      <c r="G42" s="267">
        <f t="shared" si="3"/>
        <v>0.52</v>
      </c>
      <c r="H42" s="267">
        <f t="shared" si="4"/>
        <v>0.32</v>
      </c>
      <c r="I42" s="266">
        <f>(COUTMAX/1000000)*(B42-B41)/H42</f>
        <v>0.002704326923</v>
      </c>
      <c r="J42" s="266">
        <f t="shared" si="9"/>
        <v>0.08653846154</v>
      </c>
      <c r="K42" s="291">
        <f t="shared" si="5"/>
        <v>86.53846154</v>
      </c>
      <c r="L42" s="268">
        <f t="shared" si="6"/>
        <v>0.6153846154</v>
      </c>
      <c r="M42" s="11">
        <f>1/COUTMAX*(E42/2-C42)*1000</f>
        <v>0.4982716049</v>
      </c>
      <c r="N42" s="289">
        <f t="shared" si="7"/>
        <v>0.02920673077</v>
      </c>
      <c r="O42" s="11">
        <f t="shared" si="8"/>
        <v>10.8</v>
      </c>
      <c r="P42" s="11">
        <f>(A42-B42)*(I_Cout_ss*$Q$2+C42)</f>
        <v>13.29230769</v>
      </c>
      <c r="Q42" s="11">
        <f>(A42-B42)*(I_Cout_ss*$R$2+C42)</f>
        <v>8.307692308</v>
      </c>
      <c r="R42" s="11"/>
      <c r="S42" s="11"/>
      <c r="T42" s="11"/>
      <c r="U42" s="11"/>
      <c r="V42" s="11"/>
      <c r="W42" s="11"/>
      <c r="X42" s="11"/>
      <c r="Y42" s="11"/>
      <c r="Z42" s="11"/>
      <c r="AA42" s="11"/>
      <c r="AB42" s="11"/>
      <c r="AC42" s="11"/>
    </row>
    <row r="43" ht="12.0" customHeight="1">
      <c r="A43" s="11">
        <f>VINMAX</f>
        <v>30</v>
      </c>
      <c r="B43" s="292">
        <f>VINMAX*((ROW()-10)/104)</f>
        <v>9.519230769</v>
      </c>
      <c r="C43" s="267">
        <f t="shared" si="1"/>
        <v>0.2</v>
      </c>
      <c r="D43" s="262">
        <f>B2</f>
        <v>70.4</v>
      </c>
      <c r="E43" s="252">
        <f t="shared" si="2"/>
        <v>3.437370892</v>
      </c>
      <c r="F43" s="267">
        <f>I_Cout_ss+C43</f>
        <v>0.52</v>
      </c>
      <c r="G43" s="267">
        <f t="shared" si="3"/>
        <v>0.52</v>
      </c>
      <c r="H43" s="267">
        <f t="shared" si="4"/>
        <v>0.32</v>
      </c>
      <c r="I43" s="266">
        <f>(COUTMAX/1000000)*(B43-B42)/H43</f>
        <v>0.002704326923</v>
      </c>
      <c r="J43" s="266">
        <f t="shared" si="9"/>
        <v>0.08924278846</v>
      </c>
      <c r="K43" s="291">
        <f t="shared" si="5"/>
        <v>89.24278846</v>
      </c>
      <c r="L43" s="268">
        <f t="shared" si="6"/>
        <v>0.6153846154</v>
      </c>
      <c r="M43" s="11">
        <f>1/COUTMAX*(E43/2-C43)*1000</f>
        <v>0.506228482</v>
      </c>
      <c r="N43" s="289">
        <f t="shared" si="7"/>
        <v>0.02880108173</v>
      </c>
      <c r="O43" s="11">
        <f t="shared" si="8"/>
        <v>10.65</v>
      </c>
      <c r="P43" s="11">
        <f>(A43-B43)*(I_Cout_ss*$Q$2+C43)</f>
        <v>13.10769231</v>
      </c>
      <c r="Q43" s="11">
        <f>(A43-B43)*(I_Cout_ss*$R$2+C43)</f>
        <v>8.192307692</v>
      </c>
      <c r="R43" s="11"/>
      <c r="S43" s="11"/>
      <c r="T43" s="11"/>
      <c r="U43" s="11"/>
      <c r="V43" s="11"/>
      <c r="W43" s="11"/>
      <c r="X43" s="11"/>
      <c r="Y43" s="11"/>
      <c r="Z43" s="11"/>
      <c r="AA43" s="11"/>
      <c r="AB43" s="11"/>
      <c r="AC43" s="11"/>
    </row>
    <row r="44" ht="12.0" customHeight="1">
      <c r="A44" s="11">
        <f>VINMAX</f>
        <v>30</v>
      </c>
      <c r="B44" s="292">
        <f>VINMAX*((ROW()-10)/104)</f>
        <v>9.807692308</v>
      </c>
      <c r="C44" s="267">
        <f t="shared" si="1"/>
        <v>0.2</v>
      </c>
      <c r="D44" s="262">
        <f>B2</f>
        <v>70.4</v>
      </c>
      <c r="E44" s="252">
        <f t="shared" si="2"/>
        <v>3.48647619</v>
      </c>
      <c r="F44" s="267">
        <f>I_Cout_ss+C44</f>
        <v>0.52</v>
      </c>
      <c r="G44" s="267">
        <f t="shared" si="3"/>
        <v>0.52</v>
      </c>
      <c r="H44" s="267">
        <f t="shared" si="4"/>
        <v>0.32</v>
      </c>
      <c r="I44" s="266">
        <f>(COUTMAX/1000000)*(B44-B43)/H44</f>
        <v>0.002704326923</v>
      </c>
      <c r="J44" s="266">
        <f t="shared" si="9"/>
        <v>0.09194711538</v>
      </c>
      <c r="K44" s="291">
        <f t="shared" si="5"/>
        <v>91.94711538</v>
      </c>
      <c r="L44" s="268">
        <f t="shared" si="6"/>
        <v>0.6153846154</v>
      </c>
      <c r="M44" s="11">
        <f>1/COUTMAX*(E44/2-C44)*1000</f>
        <v>0.5144126984</v>
      </c>
      <c r="N44" s="289">
        <f t="shared" si="7"/>
        <v>0.02839543269</v>
      </c>
      <c r="O44" s="11">
        <f t="shared" si="8"/>
        <v>10.5</v>
      </c>
      <c r="P44" s="11">
        <f>(A44-B44)*(I_Cout_ss*$Q$2+C44)</f>
        <v>12.92307692</v>
      </c>
      <c r="Q44" s="11">
        <f>(A44-B44)*(I_Cout_ss*$R$2+C44)</f>
        <v>8.076923077</v>
      </c>
      <c r="R44" s="11"/>
      <c r="S44" s="11"/>
      <c r="T44" s="11"/>
      <c r="U44" s="11"/>
      <c r="V44" s="11"/>
      <c r="W44" s="11"/>
      <c r="X44" s="11"/>
      <c r="Y44" s="11"/>
      <c r="Z44" s="11"/>
      <c r="AA44" s="11"/>
      <c r="AB44" s="11"/>
      <c r="AC44" s="11"/>
    </row>
    <row r="45" ht="12.0" customHeight="1">
      <c r="A45" s="11">
        <f>VINMAX</f>
        <v>30</v>
      </c>
      <c r="B45" s="292">
        <f>VINMAX*((ROW()-10)/104)</f>
        <v>10.09615385</v>
      </c>
      <c r="C45" s="267">
        <f t="shared" si="1"/>
        <v>0.2</v>
      </c>
      <c r="D45" s="262">
        <f>B2</f>
        <v>70.4</v>
      </c>
      <c r="E45" s="252">
        <f t="shared" si="2"/>
        <v>3.537004831</v>
      </c>
      <c r="F45" s="267">
        <f>I_Cout_ss+C45</f>
        <v>0.52</v>
      </c>
      <c r="G45" s="267">
        <f t="shared" si="3"/>
        <v>0.52</v>
      </c>
      <c r="H45" s="267">
        <f t="shared" si="4"/>
        <v>0.32</v>
      </c>
      <c r="I45" s="266">
        <f>(COUTMAX/1000000)*(B45-B44)/H45</f>
        <v>0.002704326923</v>
      </c>
      <c r="J45" s="266">
        <f t="shared" si="9"/>
        <v>0.09465144231</v>
      </c>
      <c r="K45" s="291">
        <f t="shared" si="5"/>
        <v>94.65144231</v>
      </c>
      <c r="L45" s="268">
        <f t="shared" si="6"/>
        <v>0.6153846154</v>
      </c>
      <c r="M45" s="11">
        <f>1/COUTMAX*(E45/2-C45)*1000</f>
        <v>0.5228341385</v>
      </c>
      <c r="N45" s="289">
        <f t="shared" si="7"/>
        <v>0.02798978365</v>
      </c>
      <c r="O45" s="11">
        <f t="shared" si="8"/>
        <v>10.35</v>
      </c>
      <c r="P45" s="11">
        <f>(A45-B45)*(I_Cout_ss*$Q$2+C45)</f>
        <v>12.73846154</v>
      </c>
      <c r="Q45" s="11">
        <f>(A45-B45)*(I_Cout_ss*$R$2+C45)</f>
        <v>7.961538462</v>
      </c>
      <c r="R45" s="11"/>
      <c r="S45" s="11"/>
      <c r="T45" s="11"/>
      <c r="U45" s="11"/>
      <c r="V45" s="11"/>
      <c r="W45" s="11"/>
      <c r="X45" s="11"/>
      <c r="Y45" s="11"/>
      <c r="Z45" s="11"/>
      <c r="AA45" s="11"/>
      <c r="AB45" s="11"/>
      <c r="AC45" s="11"/>
    </row>
    <row r="46" ht="12.0" customHeight="1">
      <c r="A46" s="11">
        <f>VINMAX</f>
        <v>30</v>
      </c>
      <c r="B46" s="292">
        <f>VINMAX*((ROW()-10)/104)</f>
        <v>10.38461538</v>
      </c>
      <c r="C46" s="267">
        <f t="shared" si="1"/>
        <v>0.2</v>
      </c>
      <c r="D46" s="262">
        <f>B2</f>
        <v>70.4</v>
      </c>
      <c r="E46" s="252">
        <f t="shared" si="2"/>
        <v>3.589019608</v>
      </c>
      <c r="F46" s="267">
        <f>I_Cout_ss+C46</f>
        <v>0.52</v>
      </c>
      <c r="G46" s="267">
        <f t="shared" si="3"/>
        <v>0.52</v>
      </c>
      <c r="H46" s="267">
        <f t="shared" si="4"/>
        <v>0.32</v>
      </c>
      <c r="I46" s="266">
        <f>(COUTMAX/1000000)*(B46-B45)/H46</f>
        <v>0.002704326923</v>
      </c>
      <c r="J46" s="266">
        <f t="shared" si="9"/>
        <v>0.09735576923</v>
      </c>
      <c r="K46" s="291">
        <f t="shared" si="5"/>
        <v>97.35576923</v>
      </c>
      <c r="L46" s="268">
        <f t="shared" si="6"/>
        <v>0.6153846154</v>
      </c>
      <c r="M46" s="11">
        <f>1/COUTMAX*(E46/2-C46)*1000</f>
        <v>0.531503268</v>
      </c>
      <c r="N46" s="289">
        <f t="shared" si="7"/>
        <v>0.02758413462</v>
      </c>
      <c r="O46" s="11">
        <f t="shared" si="8"/>
        <v>10.2</v>
      </c>
      <c r="P46" s="11">
        <f>(A46-B46)*(I_Cout_ss*$Q$2+C46)</f>
        <v>12.55384615</v>
      </c>
      <c r="Q46" s="11">
        <f>(A46-B46)*(I_Cout_ss*$R$2+C46)</f>
        <v>7.846153846</v>
      </c>
      <c r="R46" s="11"/>
      <c r="S46" s="11"/>
      <c r="T46" s="11"/>
      <c r="U46" s="11"/>
      <c r="V46" s="11"/>
      <c r="W46" s="11"/>
      <c r="X46" s="11"/>
      <c r="Y46" s="11"/>
      <c r="Z46" s="11"/>
      <c r="AA46" s="11"/>
      <c r="AB46" s="11"/>
      <c r="AC46" s="11"/>
    </row>
    <row r="47" ht="12.0" customHeight="1">
      <c r="A47" s="11">
        <f>VINMAX</f>
        <v>30</v>
      </c>
      <c r="B47" s="292">
        <f>VINMAX*((ROW()-10)/104)</f>
        <v>10.67307692</v>
      </c>
      <c r="C47" s="267">
        <f t="shared" si="1"/>
        <v>0.2</v>
      </c>
      <c r="D47" s="262">
        <f>B2</f>
        <v>70.4</v>
      </c>
      <c r="E47" s="252">
        <f t="shared" si="2"/>
        <v>3.642587065</v>
      </c>
      <c r="F47" s="267">
        <f>I_Cout_ss+C47</f>
        <v>0.52</v>
      </c>
      <c r="G47" s="267">
        <f t="shared" si="3"/>
        <v>0.52</v>
      </c>
      <c r="H47" s="267">
        <f t="shared" si="4"/>
        <v>0.32</v>
      </c>
      <c r="I47" s="266">
        <f>(COUTMAX/1000000)*(B47-B46)/H47</f>
        <v>0.002704326923</v>
      </c>
      <c r="J47" s="266">
        <f t="shared" si="9"/>
        <v>0.1000600962</v>
      </c>
      <c r="K47" s="291">
        <f t="shared" si="5"/>
        <v>100.0600962</v>
      </c>
      <c r="L47" s="268">
        <f t="shared" si="6"/>
        <v>0.6153846154</v>
      </c>
      <c r="M47" s="11">
        <f>1/COUTMAX*(E47/2-C47)*1000</f>
        <v>0.5404311774</v>
      </c>
      <c r="N47" s="289">
        <f t="shared" si="7"/>
        <v>0.02717848558</v>
      </c>
      <c r="O47" s="11">
        <f t="shared" si="8"/>
        <v>10.05</v>
      </c>
      <c r="P47" s="11">
        <f>(A47-B47)*(I_Cout_ss*$Q$2+C47)</f>
        <v>12.36923077</v>
      </c>
      <c r="Q47" s="11">
        <f>(A47-B47)*(I_Cout_ss*$R$2+C47)</f>
        <v>7.730769231</v>
      </c>
      <c r="R47" s="11"/>
      <c r="S47" s="11"/>
      <c r="T47" s="11"/>
      <c r="U47" s="11"/>
      <c r="V47" s="11"/>
      <c r="W47" s="11"/>
      <c r="X47" s="11"/>
      <c r="Y47" s="11"/>
      <c r="Z47" s="11"/>
      <c r="AA47" s="11"/>
      <c r="AB47" s="11"/>
      <c r="AC47" s="11"/>
    </row>
    <row r="48" ht="12.0" customHeight="1">
      <c r="A48" s="11">
        <f>VINMAX</f>
        <v>30</v>
      </c>
      <c r="B48" s="292">
        <f>VINMAX*((ROW()-10)/104)</f>
        <v>10.96153846</v>
      </c>
      <c r="C48" s="267">
        <f t="shared" si="1"/>
        <v>0.2</v>
      </c>
      <c r="D48" s="262">
        <f>B2</f>
        <v>70.4</v>
      </c>
      <c r="E48" s="252">
        <f t="shared" si="2"/>
        <v>3.697777778</v>
      </c>
      <c r="F48" s="267">
        <f>I_Cout_ss+C48</f>
        <v>0.52</v>
      </c>
      <c r="G48" s="267">
        <f t="shared" si="3"/>
        <v>0.52</v>
      </c>
      <c r="H48" s="267">
        <f t="shared" si="4"/>
        <v>0.32</v>
      </c>
      <c r="I48" s="266">
        <f>(COUTMAX/1000000)*(B48-B47)/H48</f>
        <v>0.002704326923</v>
      </c>
      <c r="J48" s="266">
        <f t="shared" si="9"/>
        <v>0.1027644231</v>
      </c>
      <c r="K48" s="291">
        <f t="shared" si="5"/>
        <v>102.7644231</v>
      </c>
      <c r="L48" s="268">
        <f t="shared" si="6"/>
        <v>0.6153846154</v>
      </c>
      <c r="M48" s="11">
        <f>1/COUTMAX*(E48/2-C48)*1000</f>
        <v>0.5496296296</v>
      </c>
      <c r="N48" s="289">
        <f t="shared" si="7"/>
        <v>0.02677283654</v>
      </c>
      <c r="O48" s="11">
        <f t="shared" si="8"/>
        <v>9.9</v>
      </c>
      <c r="P48" s="11">
        <f>(A48-B48)*(I_Cout_ss*$Q$2+C48)</f>
        <v>12.18461538</v>
      </c>
      <c r="Q48" s="11">
        <f>(A48-B48)*(I_Cout_ss*$R$2+C48)</f>
        <v>7.615384615</v>
      </c>
      <c r="R48" s="11"/>
      <c r="S48" s="11"/>
      <c r="T48" s="11"/>
      <c r="U48" s="11"/>
      <c r="V48" s="11"/>
      <c r="W48" s="11"/>
      <c r="X48" s="11"/>
      <c r="Y48" s="11"/>
      <c r="Z48" s="11"/>
      <c r="AA48" s="11"/>
      <c r="AB48" s="11"/>
      <c r="AC48" s="11"/>
    </row>
    <row r="49" ht="12.0" customHeight="1">
      <c r="A49" s="11">
        <f>VINMAX</f>
        <v>30</v>
      </c>
      <c r="B49" s="292">
        <f>VINMAX*((ROW()-10)/104)</f>
        <v>11.25</v>
      </c>
      <c r="C49" s="267">
        <f t="shared" si="1"/>
        <v>0.2</v>
      </c>
      <c r="D49" s="262">
        <f>B2</f>
        <v>70.4</v>
      </c>
      <c r="E49" s="252">
        <f t="shared" si="2"/>
        <v>3.754666667</v>
      </c>
      <c r="F49" s="267">
        <f>I_Cout_ss+C49</f>
        <v>0.52</v>
      </c>
      <c r="G49" s="267">
        <f t="shared" si="3"/>
        <v>0.52</v>
      </c>
      <c r="H49" s="267">
        <f t="shared" si="4"/>
        <v>0.32</v>
      </c>
      <c r="I49" s="266">
        <f>(COUTMAX/1000000)*(B49-B48)/H49</f>
        <v>0.002704326923</v>
      </c>
      <c r="J49" s="266">
        <f t="shared" si="9"/>
        <v>0.10546875</v>
      </c>
      <c r="K49" s="291">
        <f t="shared" si="5"/>
        <v>105.46875</v>
      </c>
      <c r="L49" s="268">
        <f t="shared" si="6"/>
        <v>0.6153846154</v>
      </c>
      <c r="M49" s="11">
        <f>1/COUTMAX*(E49/2-C49)*1000</f>
        <v>0.5591111111</v>
      </c>
      <c r="N49" s="289">
        <f t="shared" si="7"/>
        <v>0.0263671875</v>
      </c>
      <c r="O49" s="11">
        <f t="shared" si="8"/>
        <v>9.75</v>
      </c>
      <c r="P49" s="11">
        <f>(A49-B49)*(I_Cout_ss*$Q$2+C49)</f>
        <v>12</v>
      </c>
      <c r="Q49" s="11">
        <f>(A49-B49)*(I_Cout_ss*$R$2+C49)</f>
        <v>7.5</v>
      </c>
      <c r="R49" s="11"/>
      <c r="S49" s="11"/>
      <c r="T49" s="11"/>
      <c r="U49" s="11"/>
      <c r="V49" s="11"/>
      <c r="W49" s="11"/>
      <c r="X49" s="11"/>
      <c r="Y49" s="11"/>
      <c r="Z49" s="11"/>
      <c r="AA49" s="11"/>
      <c r="AB49" s="11"/>
      <c r="AC49" s="11"/>
    </row>
    <row r="50" ht="12.0" customHeight="1">
      <c r="A50" s="11">
        <f>VINMAX</f>
        <v>30</v>
      </c>
      <c r="B50" s="292">
        <f>VINMAX*((ROW()-10)/104)</f>
        <v>11.53846154</v>
      </c>
      <c r="C50" s="267">
        <f t="shared" si="1"/>
        <v>0.2</v>
      </c>
      <c r="D50" s="262">
        <f>B2</f>
        <v>70.4</v>
      </c>
      <c r="E50" s="252">
        <f t="shared" si="2"/>
        <v>3.813333333</v>
      </c>
      <c r="F50" s="267">
        <f>I_Cout_ss+C50</f>
        <v>0.52</v>
      </c>
      <c r="G50" s="267">
        <f t="shared" si="3"/>
        <v>0.52</v>
      </c>
      <c r="H50" s="267">
        <f t="shared" si="4"/>
        <v>0.32</v>
      </c>
      <c r="I50" s="266">
        <f>(COUTMAX/1000000)*(B50-B49)/H50</f>
        <v>0.002704326923</v>
      </c>
      <c r="J50" s="266">
        <f t="shared" si="9"/>
        <v>0.1081730769</v>
      </c>
      <c r="K50" s="291">
        <f t="shared" si="5"/>
        <v>108.1730769</v>
      </c>
      <c r="L50" s="268">
        <f t="shared" si="6"/>
        <v>0.6153846154</v>
      </c>
      <c r="M50" s="11">
        <f>1/COUTMAX*(E50/2-C50)*1000</f>
        <v>0.5688888889</v>
      </c>
      <c r="N50" s="289">
        <f t="shared" si="7"/>
        <v>0.02596153846</v>
      </c>
      <c r="O50" s="11">
        <f t="shared" si="8"/>
        <v>9.6</v>
      </c>
      <c r="P50" s="11">
        <f>(A50-B50)*(I_Cout_ss*$Q$2+C50)</f>
        <v>11.81538462</v>
      </c>
      <c r="Q50" s="11">
        <f>(A50-B50)*(I_Cout_ss*$R$2+C50)</f>
        <v>7.384615385</v>
      </c>
      <c r="R50" s="11"/>
      <c r="S50" s="11"/>
      <c r="T50" s="11"/>
      <c r="U50" s="11"/>
      <c r="V50" s="11"/>
      <c r="W50" s="11"/>
      <c r="X50" s="11"/>
      <c r="Y50" s="11"/>
      <c r="Z50" s="11"/>
      <c r="AA50" s="11"/>
      <c r="AB50" s="11"/>
      <c r="AC50" s="11"/>
    </row>
    <row r="51" ht="12.0" customHeight="1">
      <c r="A51" s="11">
        <f>VINMAX</f>
        <v>30</v>
      </c>
      <c r="B51" s="292">
        <f>VINMAX*((ROW()-10)/104)</f>
        <v>11.82692308</v>
      </c>
      <c r="C51" s="267">
        <f t="shared" si="1"/>
        <v>0.2</v>
      </c>
      <c r="D51" s="262">
        <f>B2</f>
        <v>70.4</v>
      </c>
      <c r="E51" s="252">
        <f t="shared" si="2"/>
        <v>3.873862434</v>
      </c>
      <c r="F51" s="267">
        <f>I_Cout_ss+C51</f>
        <v>0.52</v>
      </c>
      <c r="G51" s="267">
        <f t="shared" si="3"/>
        <v>0.52</v>
      </c>
      <c r="H51" s="267">
        <f t="shared" si="4"/>
        <v>0.32</v>
      </c>
      <c r="I51" s="266">
        <f>(COUTMAX/1000000)*(B51-B50)/H51</f>
        <v>0.002704326923</v>
      </c>
      <c r="J51" s="266">
        <f t="shared" si="9"/>
        <v>0.1108774038</v>
      </c>
      <c r="K51" s="291">
        <f t="shared" si="5"/>
        <v>110.8774038</v>
      </c>
      <c r="L51" s="268">
        <f t="shared" si="6"/>
        <v>0.6153846154</v>
      </c>
      <c r="M51" s="11">
        <f>1/COUTMAX*(E51/2-C51)*1000</f>
        <v>0.5789770723</v>
      </c>
      <c r="N51" s="289">
        <f t="shared" si="7"/>
        <v>0.02555588942</v>
      </c>
      <c r="O51" s="11">
        <f t="shared" si="8"/>
        <v>9.45</v>
      </c>
      <c r="P51" s="11">
        <f>(A51-B51)*(I_Cout_ss*$Q$2+C51)</f>
        <v>11.63076923</v>
      </c>
      <c r="Q51" s="11">
        <f>(A51-B51)*(I_Cout_ss*$R$2+C51)</f>
        <v>7.269230769</v>
      </c>
      <c r="R51" s="11"/>
      <c r="S51" s="11"/>
      <c r="T51" s="11"/>
      <c r="U51" s="11"/>
      <c r="V51" s="11"/>
      <c r="W51" s="11"/>
      <c r="X51" s="11"/>
      <c r="Y51" s="11"/>
      <c r="Z51" s="11"/>
      <c r="AA51" s="11"/>
      <c r="AB51" s="11"/>
      <c r="AC51" s="11"/>
    </row>
    <row r="52" ht="12.0" customHeight="1">
      <c r="A52" s="11">
        <f>VINMAX</f>
        <v>30</v>
      </c>
      <c r="B52" s="292">
        <f>VINMAX*((ROW()-10)/104)</f>
        <v>12.11538462</v>
      </c>
      <c r="C52" s="267">
        <f t="shared" si="1"/>
        <v>0.2</v>
      </c>
      <c r="D52" s="262">
        <f>B2</f>
        <v>70.4</v>
      </c>
      <c r="E52" s="252">
        <f t="shared" si="2"/>
        <v>3.936344086</v>
      </c>
      <c r="F52" s="267">
        <f>I_Cout_ss+C52</f>
        <v>0.52</v>
      </c>
      <c r="G52" s="267">
        <f t="shared" si="3"/>
        <v>0.52</v>
      </c>
      <c r="H52" s="267">
        <f t="shared" si="4"/>
        <v>0.32</v>
      </c>
      <c r="I52" s="266">
        <f>(COUTMAX/1000000)*(B52-B51)/H52</f>
        <v>0.002704326923</v>
      </c>
      <c r="J52" s="266">
        <f t="shared" si="9"/>
        <v>0.1135817308</v>
      </c>
      <c r="K52" s="291">
        <f t="shared" si="5"/>
        <v>113.5817308</v>
      </c>
      <c r="L52" s="268">
        <f t="shared" si="6"/>
        <v>0.6153846154</v>
      </c>
      <c r="M52" s="11">
        <f>1/COUTMAX*(E52/2-C52)*1000</f>
        <v>0.589390681</v>
      </c>
      <c r="N52" s="289">
        <f t="shared" si="7"/>
        <v>0.02515024038</v>
      </c>
      <c r="O52" s="11">
        <f t="shared" si="8"/>
        <v>9.3</v>
      </c>
      <c r="P52" s="11">
        <f>(A52-B52)*(I_Cout_ss*$Q$2+C52)</f>
        <v>11.44615385</v>
      </c>
      <c r="Q52" s="11">
        <f>(A52-B52)*(I_Cout_ss*$R$2+C52)</f>
        <v>7.153846154</v>
      </c>
      <c r="R52" s="11"/>
      <c r="S52" s="11"/>
      <c r="T52" s="11"/>
      <c r="U52" s="11"/>
      <c r="V52" s="11"/>
      <c r="W52" s="11"/>
      <c r="X52" s="11"/>
      <c r="Y52" s="11"/>
      <c r="Z52" s="11"/>
      <c r="AA52" s="11"/>
      <c r="AB52" s="11"/>
      <c r="AC52" s="11"/>
    </row>
    <row r="53" ht="12.0" customHeight="1">
      <c r="A53" s="11">
        <f>VINMAX</f>
        <v>30</v>
      </c>
      <c r="B53" s="292">
        <f>VINMAX*((ROW()-10)/104)</f>
        <v>12.40384615</v>
      </c>
      <c r="C53" s="267">
        <f t="shared" si="1"/>
        <v>0.2</v>
      </c>
      <c r="D53" s="262">
        <f>B2</f>
        <v>70.4</v>
      </c>
      <c r="E53" s="252">
        <f t="shared" si="2"/>
        <v>4.000874317</v>
      </c>
      <c r="F53" s="267">
        <f>I_Cout_ss+C53</f>
        <v>0.52</v>
      </c>
      <c r="G53" s="267">
        <f t="shared" si="3"/>
        <v>0.52</v>
      </c>
      <c r="H53" s="267">
        <f t="shared" si="4"/>
        <v>0.32</v>
      </c>
      <c r="I53" s="266">
        <f>(COUTMAX/1000000)*(B53-B52)/H53</f>
        <v>0.002704326923</v>
      </c>
      <c r="J53" s="266">
        <f t="shared" si="9"/>
        <v>0.1162860577</v>
      </c>
      <c r="K53" s="291">
        <f t="shared" si="5"/>
        <v>116.2860577</v>
      </c>
      <c r="L53" s="268">
        <f t="shared" si="6"/>
        <v>0.6153846154</v>
      </c>
      <c r="M53" s="11">
        <f>1/COUTMAX*(E53/2-C53)*1000</f>
        <v>0.6001457195</v>
      </c>
      <c r="N53" s="289">
        <f t="shared" si="7"/>
        <v>0.02474459135</v>
      </c>
      <c r="O53" s="11">
        <f t="shared" si="8"/>
        <v>9.15</v>
      </c>
      <c r="P53" s="11">
        <f>(A53-B53)*(I_Cout_ss*$Q$2+C53)</f>
        <v>11.26153846</v>
      </c>
      <c r="Q53" s="11">
        <f>(A53-B53)*(I_Cout_ss*$R$2+C53)</f>
        <v>7.038461538</v>
      </c>
      <c r="R53" s="11"/>
      <c r="S53" s="11"/>
      <c r="T53" s="11"/>
      <c r="U53" s="11"/>
      <c r="V53" s="11"/>
      <c r="W53" s="11"/>
      <c r="X53" s="11"/>
      <c r="Y53" s="11"/>
      <c r="Z53" s="11"/>
      <c r="AA53" s="11"/>
      <c r="AB53" s="11"/>
      <c r="AC53" s="11"/>
    </row>
    <row r="54" ht="12.0" customHeight="1">
      <c r="A54" s="11">
        <f>VINMAX</f>
        <v>30</v>
      </c>
      <c r="B54" s="292">
        <f>VINMAX*((ROW()-10)/104)</f>
        <v>12.69230769</v>
      </c>
      <c r="C54" s="267">
        <f t="shared" si="1"/>
        <v>0.2</v>
      </c>
      <c r="D54" s="262">
        <f>B2</f>
        <v>70.4</v>
      </c>
      <c r="E54" s="252">
        <f t="shared" si="2"/>
        <v>4.067555556</v>
      </c>
      <c r="F54" s="267">
        <f>I_Cout_ss+C54</f>
        <v>0.52</v>
      </c>
      <c r="G54" s="267">
        <f t="shared" si="3"/>
        <v>0.52</v>
      </c>
      <c r="H54" s="267">
        <f t="shared" si="4"/>
        <v>0.32</v>
      </c>
      <c r="I54" s="266">
        <f>(COUTMAX/1000000)*(B54-B53)/H54</f>
        <v>0.002704326923</v>
      </c>
      <c r="J54" s="266">
        <f t="shared" si="9"/>
        <v>0.1189903846</v>
      </c>
      <c r="K54" s="291">
        <f t="shared" si="5"/>
        <v>118.9903846</v>
      </c>
      <c r="L54" s="268">
        <f t="shared" si="6"/>
        <v>0.6153846154</v>
      </c>
      <c r="M54" s="11">
        <f>1/COUTMAX*(E54/2-C54)*1000</f>
        <v>0.6112592593</v>
      </c>
      <c r="N54" s="289">
        <f t="shared" si="7"/>
        <v>0.02433894231</v>
      </c>
      <c r="O54" s="11">
        <f t="shared" si="8"/>
        <v>9</v>
      </c>
      <c r="P54" s="11">
        <f>(A54-B54)*(I_Cout_ss*$Q$2+C54)</f>
        <v>11.07692308</v>
      </c>
      <c r="Q54" s="11">
        <f>(A54-B54)*(I_Cout_ss*$R$2+C54)</f>
        <v>6.923076923</v>
      </c>
      <c r="R54" s="11"/>
      <c r="S54" s="11"/>
      <c r="T54" s="11"/>
      <c r="U54" s="11"/>
      <c r="V54" s="11"/>
      <c r="W54" s="11"/>
      <c r="X54" s="11"/>
      <c r="Y54" s="11"/>
      <c r="Z54" s="11"/>
      <c r="AA54" s="11"/>
      <c r="AB54" s="11"/>
      <c r="AC54" s="11"/>
    </row>
    <row r="55" ht="12.0" customHeight="1">
      <c r="A55" s="11">
        <f>VINMAX</f>
        <v>30</v>
      </c>
      <c r="B55" s="292">
        <f>VINMAX*((ROW()-10)/104)</f>
        <v>12.98076923</v>
      </c>
      <c r="C55" s="267">
        <f t="shared" si="1"/>
        <v>0.2</v>
      </c>
      <c r="D55" s="262">
        <f>B2</f>
        <v>70.4</v>
      </c>
      <c r="E55" s="252">
        <f t="shared" si="2"/>
        <v>4.136497175</v>
      </c>
      <c r="F55" s="267">
        <f>I_Cout_ss+C55</f>
        <v>0.52</v>
      </c>
      <c r="G55" s="267">
        <f t="shared" si="3"/>
        <v>0.52</v>
      </c>
      <c r="H55" s="267">
        <f t="shared" si="4"/>
        <v>0.32</v>
      </c>
      <c r="I55" s="266">
        <f>(COUTMAX/1000000)*(B55-B54)/H55</f>
        <v>0.002704326923</v>
      </c>
      <c r="J55" s="266">
        <f t="shared" si="9"/>
        <v>0.1216947115</v>
      </c>
      <c r="K55" s="291">
        <f t="shared" si="5"/>
        <v>121.6947115</v>
      </c>
      <c r="L55" s="268">
        <f t="shared" si="6"/>
        <v>0.6153846154</v>
      </c>
      <c r="M55" s="11">
        <f>1/COUTMAX*(E55/2-C55)*1000</f>
        <v>0.6227495292</v>
      </c>
      <c r="N55" s="289">
        <f t="shared" si="7"/>
        <v>0.02393329327</v>
      </c>
      <c r="O55" s="11">
        <f t="shared" si="8"/>
        <v>8.85</v>
      </c>
      <c r="P55" s="11">
        <f>(A55-B55)*(I_Cout_ss*$Q$2+C55)</f>
        <v>10.89230769</v>
      </c>
      <c r="Q55" s="11">
        <f>(A55-B55)*(I_Cout_ss*$R$2+C55)</f>
        <v>6.807692308</v>
      </c>
      <c r="R55" s="11"/>
      <c r="S55" s="11"/>
      <c r="T55" s="11"/>
      <c r="U55" s="11"/>
      <c r="V55" s="11"/>
      <c r="W55" s="11"/>
      <c r="X55" s="11"/>
      <c r="Y55" s="11"/>
      <c r="Z55" s="11"/>
      <c r="AA55" s="11"/>
      <c r="AB55" s="11"/>
      <c r="AC55" s="11"/>
    </row>
    <row r="56" ht="12.0" customHeight="1">
      <c r="A56" s="11">
        <f>VINMAX</f>
        <v>30</v>
      </c>
      <c r="B56" s="292">
        <f>VINMAX*((ROW()-10)/104)</f>
        <v>13.26923077</v>
      </c>
      <c r="C56" s="267">
        <f t="shared" si="1"/>
        <v>0.2</v>
      </c>
      <c r="D56" s="262">
        <f>B2</f>
        <v>70.4</v>
      </c>
      <c r="E56" s="252">
        <f t="shared" si="2"/>
        <v>4.207816092</v>
      </c>
      <c r="F56" s="267">
        <f>I_Cout_ss+C56</f>
        <v>0.52</v>
      </c>
      <c r="G56" s="267">
        <f t="shared" si="3"/>
        <v>0.52</v>
      </c>
      <c r="H56" s="267">
        <f t="shared" si="4"/>
        <v>0.32</v>
      </c>
      <c r="I56" s="266">
        <f>(COUTMAX/1000000)*(B56-B55)/H56</f>
        <v>0.002704326923</v>
      </c>
      <c r="J56" s="266">
        <f t="shared" si="9"/>
        <v>0.1243990385</v>
      </c>
      <c r="K56" s="291">
        <f t="shared" si="5"/>
        <v>124.3990385</v>
      </c>
      <c r="L56" s="268">
        <f t="shared" si="6"/>
        <v>0.6153846154</v>
      </c>
      <c r="M56" s="11">
        <f>1/COUTMAX*(E56/2-C56)*1000</f>
        <v>0.6346360153</v>
      </c>
      <c r="N56" s="289">
        <f t="shared" si="7"/>
        <v>0.02352764423</v>
      </c>
      <c r="O56" s="11">
        <f t="shared" si="8"/>
        <v>8.7</v>
      </c>
      <c r="P56" s="11">
        <f>(A56-B56)*(I_Cout_ss*$Q$2+C56)</f>
        <v>10.70769231</v>
      </c>
      <c r="Q56" s="11">
        <f>(A56-B56)*(I_Cout_ss*$R$2+C56)</f>
        <v>6.692307692</v>
      </c>
      <c r="R56" s="11"/>
      <c r="S56" s="11"/>
      <c r="T56" s="11"/>
      <c r="U56" s="11"/>
      <c r="V56" s="11"/>
      <c r="W56" s="11"/>
      <c r="X56" s="11"/>
      <c r="Y56" s="11"/>
      <c r="Z56" s="11"/>
      <c r="AA56" s="11"/>
      <c r="AB56" s="11"/>
      <c r="AC56" s="11"/>
    </row>
    <row r="57" ht="12.0" customHeight="1">
      <c r="A57" s="11">
        <f>VINMAX</f>
        <v>30</v>
      </c>
      <c r="B57" s="292">
        <f>VINMAX*((ROW()-10)/104)</f>
        <v>13.55769231</v>
      </c>
      <c r="C57" s="267">
        <f t="shared" si="1"/>
        <v>0.2</v>
      </c>
      <c r="D57" s="262">
        <f>B2</f>
        <v>70.4</v>
      </c>
      <c r="E57" s="252">
        <f t="shared" si="2"/>
        <v>4.281637427</v>
      </c>
      <c r="F57" s="267">
        <f>I_Cout_ss+C57</f>
        <v>0.52</v>
      </c>
      <c r="G57" s="267">
        <f t="shared" si="3"/>
        <v>0.52</v>
      </c>
      <c r="H57" s="267">
        <f t="shared" si="4"/>
        <v>0.32</v>
      </c>
      <c r="I57" s="266">
        <f>(COUTMAX/1000000)*(B57-B56)/H57</f>
        <v>0.002704326923</v>
      </c>
      <c r="J57" s="266">
        <f t="shared" si="9"/>
        <v>0.1271033654</v>
      </c>
      <c r="K57" s="291">
        <f t="shared" si="5"/>
        <v>127.1033654</v>
      </c>
      <c r="L57" s="268">
        <f t="shared" si="6"/>
        <v>0.6153846154</v>
      </c>
      <c r="M57" s="11">
        <f>1/COUTMAX*(E57/2-C57)*1000</f>
        <v>0.6469395712</v>
      </c>
      <c r="N57" s="289">
        <f t="shared" si="7"/>
        <v>0.02312199519</v>
      </c>
      <c r="O57" s="11">
        <f t="shared" si="8"/>
        <v>8.55</v>
      </c>
      <c r="P57" s="11">
        <f>(A57-B57)*(I_Cout_ss*$Q$2+C57)</f>
        <v>10.52307692</v>
      </c>
      <c r="Q57" s="11">
        <f>(A57-B57)*(I_Cout_ss*$R$2+C57)</f>
        <v>6.576923077</v>
      </c>
      <c r="R57" s="11"/>
      <c r="S57" s="11"/>
      <c r="T57" s="11"/>
      <c r="U57" s="11"/>
      <c r="V57" s="11"/>
      <c r="W57" s="11"/>
      <c r="X57" s="11"/>
      <c r="Y57" s="11"/>
      <c r="Z57" s="11"/>
      <c r="AA57" s="11"/>
      <c r="AB57" s="11"/>
      <c r="AC57" s="11"/>
    </row>
    <row r="58" ht="12.0" customHeight="1">
      <c r="A58" s="11">
        <f>VINMAX</f>
        <v>30</v>
      </c>
      <c r="B58" s="292">
        <f>VINMAX*((ROW()-10)/104)</f>
        <v>13.84615385</v>
      </c>
      <c r="C58" s="267">
        <f t="shared" si="1"/>
        <v>0.2</v>
      </c>
      <c r="D58" s="262">
        <f>B2</f>
        <v>70.4</v>
      </c>
      <c r="E58" s="252">
        <f t="shared" si="2"/>
        <v>4.358095238</v>
      </c>
      <c r="F58" s="267">
        <f>I_Cout_ss+C58</f>
        <v>0.52</v>
      </c>
      <c r="G58" s="267">
        <f t="shared" si="3"/>
        <v>0.52</v>
      </c>
      <c r="H58" s="267">
        <f t="shared" si="4"/>
        <v>0.32</v>
      </c>
      <c r="I58" s="266">
        <f>(COUTMAX/1000000)*(B58-B57)/H58</f>
        <v>0.002704326923</v>
      </c>
      <c r="J58" s="266">
        <f t="shared" si="9"/>
        <v>0.1298076923</v>
      </c>
      <c r="K58" s="291">
        <f t="shared" si="5"/>
        <v>129.8076923</v>
      </c>
      <c r="L58" s="268">
        <f t="shared" si="6"/>
        <v>0.6153846154</v>
      </c>
      <c r="M58" s="11">
        <f>1/COUTMAX*(E58/2-C58)*1000</f>
        <v>0.6596825397</v>
      </c>
      <c r="N58" s="289">
        <f t="shared" si="7"/>
        <v>0.02271634615</v>
      </c>
      <c r="O58" s="11">
        <f t="shared" si="8"/>
        <v>8.4</v>
      </c>
      <c r="P58" s="11">
        <f>(A58-B58)*(I_Cout_ss*$Q$2+C58)</f>
        <v>10.33846154</v>
      </c>
      <c r="Q58" s="11">
        <f>(A58-B58)*(I_Cout_ss*$R$2+C58)</f>
        <v>6.461538462</v>
      </c>
      <c r="R58" s="11"/>
      <c r="S58" s="11"/>
      <c r="T58" s="11"/>
      <c r="U58" s="11"/>
      <c r="V58" s="11"/>
      <c r="W58" s="11"/>
      <c r="X58" s="11"/>
      <c r="Y58" s="11"/>
      <c r="Z58" s="11"/>
      <c r="AA58" s="11"/>
      <c r="AB58" s="11"/>
      <c r="AC58" s="11"/>
    </row>
    <row r="59" ht="12.0" customHeight="1">
      <c r="A59" s="11">
        <f>VINMAX</f>
        <v>30</v>
      </c>
      <c r="B59" s="292">
        <f>VINMAX*((ROW()-10)/104)</f>
        <v>14.13461538</v>
      </c>
      <c r="C59" s="267">
        <f t="shared" si="1"/>
        <v>0.2</v>
      </c>
      <c r="D59" s="262">
        <f>B2</f>
        <v>70.4</v>
      </c>
      <c r="E59" s="252">
        <f t="shared" si="2"/>
        <v>4.437333333</v>
      </c>
      <c r="F59" s="267">
        <f>I_Cout_ss+C59</f>
        <v>0.52</v>
      </c>
      <c r="G59" s="267">
        <f t="shared" si="3"/>
        <v>0.52</v>
      </c>
      <c r="H59" s="267">
        <f t="shared" si="4"/>
        <v>0.32</v>
      </c>
      <c r="I59" s="266">
        <f>(COUTMAX/1000000)*(B59-B58)/H59</f>
        <v>0.002704326923</v>
      </c>
      <c r="J59" s="266">
        <f t="shared" si="9"/>
        <v>0.1325120192</v>
      </c>
      <c r="K59" s="291">
        <f t="shared" si="5"/>
        <v>132.5120192</v>
      </c>
      <c r="L59" s="268">
        <f t="shared" si="6"/>
        <v>0.6153846154</v>
      </c>
      <c r="M59" s="11">
        <f>1/COUTMAX*(E59/2-C59)*1000</f>
        <v>0.6728888889</v>
      </c>
      <c r="N59" s="289">
        <f t="shared" si="7"/>
        <v>0.02231069712</v>
      </c>
      <c r="O59" s="11">
        <f t="shared" si="8"/>
        <v>8.25</v>
      </c>
      <c r="P59" s="11">
        <f>(A59-B59)*(I_Cout_ss*$Q$2+C59)</f>
        <v>10.15384615</v>
      </c>
      <c r="Q59" s="11">
        <f>(A59-B59)*(I_Cout_ss*$R$2+C59)</f>
        <v>6.346153846</v>
      </c>
      <c r="R59" s="11"/>
      <c r="S59" s="11"/>
      <c r="T59" s="11"/>
      <c r="U59" s="11"/>
      <c r="V59" s="11"/>
      <c r="W59" s="11"/>
      <c r="X59" s="11"/>
      <c r="Y59" s="11"/>
      <c r="Z59" s="11"/>
      <c r="AA59" s="11"/>
      <c r="AB59" s="11"/>
      <c r="AC59" s="11"/>
    </row>
    <row r="60" ht="12.0" customHeight="1">
      <c r="A60" s="11">
        <f>VINMAX</f>
        <v>30</v>
      </c>
      <c r="B60" s="292">
        <f>VINMAX*((ROW()-10)/104)</f>
        <v>14.42307692</v>
      </c>
      <c r="C60" s="267">
        <f t="shared" si="1"/>
        <v>0.2</v>
      </c>
      <c r="D60" s="262">
        <f>B2</f>
        <v>70.4</v>
      </c>
      <c r="E60" s="252">
        <f t="shared" si="2"/>
        <v>4.519506173</v>
      </c>
      <c r="F60" s="267">
        <f>I_Cout_ss+C60</f>
        <v>0.52</v>
      </c>
      <c r="G60" s="267">
        <f t="shared" si="3"/>
        <v>0.52</v>
      </c>
      <c r="H60" s="267">
        <f t="shared" si="4"/>
        <v>0.32</v>
      </c>
      <c r="I60" s="266">
        <f>(COUTMAX/1000000)*(B60-B59)/H60</f>
        <v>0.002704326923</v>
      </c>
      <c r="J60" s="266">
        <f t="shared" si="9"/>
        <v>0.1352163462</v>
      </c>
      <c r="K60" s="291">
        <f t="shared" si="5"/>
        <v>135.2163462</v>
      </c>
      <c r="L60" s="268">
        <f t="shared" si="6"/>
        <v>0.6153846154</v>
      </c>
      <c r="M60" s="11">
        <f>1/COUTMAX*(E60/2-C60)*1000</f>
        <v>0.6865843621</v>
      </c>
      <c r="N60" s="289">
        <f t="shared" si="7"/>
        <v>0.02190504808</v>
      </c>
      <c r="O60" s="11">
        <f t="shared" si="8"/>
        <v>8.1</v>
      </c>
      <c r="P60" s="11">
        <f>(A60-B60)*(I_Cout_ss*$Q$2+C60)</f>
        <v>9.969230769</v>
      </c>
      <c r="Q60" s="11">
        <f>(A60-B60)*(I_Cout_ss*$R$2+C60)</f>
        <v>6.230769231</v>
      </c>
      <c r="R60" s="11"/>
      <c r="S60" s="11"/>
      <c r="T60" s="11"/>
      <c r="U60" s="11"/>
      <c r="V60" s="11"/>
      <c r="W60" s="11"/>
      <c r="X60" s="11"/>
      <c r="Y60" s="11"/>
      <c r="Z60" s="11"/>
      <c r="AA60" s="11"/>
      <c r="AB60" s="11"/>
      <c r="AC60" s="11"/>
    </row>
    <row r="61" ht="12.0" customHeight="1">
      <c r="A61" s="11">
        <f>VINMAX</f>
        <v>30</v>
      </c>
      <c r="B61" s="292">
        <f>VINMAX*((ROW()-10)/104)</f>
        <v>14.71153846</v>
      </c>
      <c r="C61" s="267">
        <f t="shared" si="1"/>
        <v>0.2</v>
      </c>
      <c r="D61" s="262">
        <f>B2</f>
        <v>70.4</v>
      </c>
      <c r="E61" s="252">
        <f t="shared" si="2"/>
        <v>4.604779874</v>
      </c>
      <c r="F61" s="267">
        <f>I_Cout_ss+C61</f>
        <v>0.52</v>
      </c>
      <c r="G61" s="267">
        <f t="shared" si="3"/>
        <v>0.52</v>
      </c>
      <c r="H61" s="267">
        <f t="shared" si="4"/>
        <v>0.32</v>
      </c>
      <c r="I61" s="266">
        <f>(COUTMAX/1000000)*(B61-B60)/H61</f>
        <v>0.002704326923</v>
      </c>
      <c r="J61" s="266">
        <f t="shared" si="9"/>
        <v>0.1379206731</v>
      </c>
      <c r="K61" s="291">
        <f t="shared" si="5"/>
        <v>137.9206731</v>
      </c>
      <c r="L61" s="268">
        <f t="shared" si="6"/>
        <v>0.6153846154</v>
      </c>
      <c r="M61" s="11">
        <f>1/COUTMAX*(E61/2-C61)*1000</f>
        <v>0.7007966457</v>
      </c>
      <c r="N61" s="289">
        <f t="shared" si="7"/>
        <v>0.02149939904</v>
      </c>
      <c r="O61" s="11">
        <f t="shared" si="8"/>
        <v>7.95</v>
      </c>
      <c r="P61" s="11">
        <f>(A61-B61)*(I_Cout_ss*$Q$2+C61)</f>
        <v>9.784615385</v>
      </c>
      <c r="Q61" s="11">
        <f>(A61-B61)*(I_Cout_ss*$R$2+C61)</f>
        <v>6.115384615</v>
      </c>
      <c r="R61" s="11"/>
      <c r="S61" s="11"/>
      <c r="T61" s="11"/>
      <c r="U61" s="11"/>
      <c r="V61" s="11"/>
      <c r="W61" s="11"/>
      <c r="X61" s="11"/>
      <c r="Y61" s="11"/>
      <c r="Z61" s="11"/>
      <c r="AA61" s="11"/>
      <c r="AB61" s="11"/>
      <c r="AC61" s="11"/>
    </row>
    <row r="62" ht="12.0" customHeight="1">
      <c r="A62" s="11">
        <f>VINMAX</f>
        <v>30</v>
      </c>
      <c r="B62" s="292">
        <f>VINMAX*((ROW()-10)/104)</f>
        <v>15</v>
      </c>
      <c r="C62" s="267">
        <f t="shared" si="1"/>
        <v>0.2</v>
      </c>
      <c r="D62" s="262">
        <f>B2</f>
        <v>70.4</v>
      </c>
      <c r="E62" s="252">
        <f t="shared" si="2"/>
        <v>4.693333333</v>
      </c>
      <c r="F62" s="267">
        <f>I_Cout_ss+C62</f>
        <v>0.52</v>
      </c>
      <c r="G62" s="267">
        <f t="shared" si="3"/>
        <v>0.52</v>
      </c>
      <c r="H62" s="267">
        <f t="shared" si="4"/>
        <v>0.32</v>
      </c>
      <c r="I62" s="266">
        <f>(COUTMAX/1000000)*(B62-B61)/H62</f>
        <v>0.002704326923</v>
      </c>
      <c r="J62" s="266">
        <f t="shared" si="9"/>
        <v>0.140625</v>
      </c>
      <c r="K62" s="291">
        <f t="shared" si="5"/>
        <v>140.625</v>
      </c>
      <c r="L62" s="268">
        <f t="shared" si="6"/>
        <v>0.6153846154</v>
      </c>
      <c r="M62" s="11">
        <f>1/COUTMAX*(E62/2-C62)*1000</f>
        <v>0.7155555556</v>
      </c>
      <c r="N62" s="289">
        <f t="shared" si="7"/>
        <v>0.02109375</v>
      </c>
      <c r="O62" s="11">
        <f t="shared" si="8"/>
        <v>7.8</v>
      </c>
      <c r="P62" s="11">
        <f>(A62-B62)*(I_Cout_ss*$Q$2+C62)</f>
        <v>9.6</v>
      </c>
      <c r="Q62" s="11">
        <f>(A62-B62)*(I_Cout_ss*$R$2+C62)</f>
        <v>6</v>
      </c>
      <c r="R62" s="11"/>
      <c r="S62" s="11"/>
      <c r="T62" s="11"/>
      <c r="U62" s="11"/>
      <c r="V62" s="11"/>
      <c r="W62" s="11"/>
      <c r="X62" s="11"/>
      <c r="Y62" s="11"/>
      <c r="Z62" s="11"/>
      <c r="AA62" s="11"/>
      <c r="AB62" s="11"/>
      <c r="AC62" s="11"/>
    </row>
    <row r="63" ht="12.0" customHeight="1">
      <c r="A63" s="11">
        <f>VINMAX</f>
        <v>30</v>
      </c>
      <c r="B63" s="292">
        <f>VINMAX*((ROW()-10)/104)</f>
        <v>15.28846154</v>
      </c>
      <c r="C63" s="267">
        <f t="shared" si="1"/>
        <v>0.2</v>
      </c>
      <c r="D63" s="262">
        <f>B2</f>
        <v>70.4</v>
      </c>
      <c r="E63" s="252">
        <f t="shared" si="2"/>
        <v>4.785359477</v>
      </c>
      <c r="F63" s="267">
        <f>I_Cout_ss+C63</f>
        <v>0.52</v>
      </c>
      <c r="G63" s="267">
        <f t="shared" si="3"/>
        <v>0.52</v>
      </c>
      <c r="H63" s="267">
        <f t="shared" si="4"/>
        <v>0.32</v>
      </c>
      <c r="I63" s="266">
        <f>(COUTMAX/1000000)*(B63-B62)/H63</f>
        <v>0.002704326923</v>
      </c>
      <c r="J63" s="266">
        <f t="shared" si="9"/>
        <v>0.1433293269</v>
      </c>
      <c r="K63" s="291">
        <f t="shared" si="5"/>
        <v>143.3293269</v>
      </c>
      <c r="L63" s="268">
        <f t="shared" si="6"/>
        <v>0.6153846154</v>
      </c>
      <c r="M63" s="11">
        <f>1/COUTMAX*(E63/2-C63)*1000</f>
        <v>0.7308932462</v>
      </c>
      <c r="N63" s="289">
        <f t="shared" si="7"/>
        <v>0.02068810096</v>
      </c>
      <c r="O63" s="11">
        <f t="shared" si="8"/>
        <v>7.65</v>
      </c>
      <c r="P63" s="11">
        <f>(A63-B63)*(I_Cout_ss*$Q$2+C63)</f>
        <v>9.415384615</v>
      </c>
      <c r="Q63" s="11">
        <f>(A63-B63)*(I_Cout_ss*$R$2+C63)</f>
        <v>5.884615385</v>
      </c>
      <c r="R63" s="11"/>
      <c r="S63" s="11"/>
      <c r="T63" s="11"/>
      <c r="U63" s="11"/>
      <c r="V63" s="11"/>
      <c r="W63" s="11"/>
      <c r="X63" s="11"/>
      <c r="Y63" s="11"/>
      <c r="Z63" s="11"/>
      <c r="AA63" s="11"/>
      <c r="AB63" s="11"/>
      <c r="AC63" s="11"/>
    </row>
    <row r="64" ht="12.0" customHeight="1">
      <c r="A64" s="11">
        <f>VINMAX</f>
        <v>30</v>
      </c>
      <c r="B64" s="292">
        <f>VINMAX*((ROW()-10)/104)</f>
        <v>15.57692308</v>
      </c>
      <c r="C64" s="267">
        <f t="shared" si="1"/>
        <v>0.2</v>
      </c>
      <c r="D64" s="262">
        <f>B2</f>
        <v>70.4</v>
      </c>
      <c r="E64" s="252">
        <f t="shared" si="2"/>
        <v>4.881066667</v>
      </c>
      <c r="F64" s="267">
        <f>I_Cout_ss+C64</f>
        <v>0.52</v>
      </c>
      <c r="G64" s="267">
        <f t="shared" si="3"/>
        <v>0.52</v>
      </c>
      <c r="H64" s="267">
        <f t="shared" si="4"/>
        <v>0.32</v>
      </c>
      <c r="I64" s="266">
        <f>(COUTMAX/1000000)*(B64-B63)/H64</f>
        <v>0.002704326923</v>
      </c>
      <c r="J64" s="266">
        <f t="shared" si="9"/>
        <v>0.1460336538</v>
      </c>
      <c r="K64" s="291">
        <f t="shared" si="5"/>
        <v>146.0336538</v>
      </c>
      <c r="L64" s="268">
        <f t="shared" si="6"/>
        <v>0.6153846154</v>
      </c>
      <c r="M64" s="11">
        <f>1/COUTMAX*(E64/2-C64)*1000</f>
        <v>0.7468444444</v>
      </c>
      <c r="N64" s="289">
        <f t="shared" si="7"/>
        <v>0.02028245192</v>
      </c>
      <c r="O64" s="11">
        <f t="shared" si="8"/>
        <v>7.5</v>
      </c>
      <c r="P64" s="11">
        <f>(A64-B64)*(I_Cout_ss*$Q$2+C64)</f>
        <v>9.230769231</v>
      </c>
      <c r="Q64" s="11">
        <f>(A64-B64)*(I_Cout_ss*$R$2+C64)</f>
        <v>5.769230769</v>
      </c>
      <c r="R64" s="11"/>
      <c r="S64" s="11"/>
      <c r="T64" s="11"/>
      <c r="U64" s="11"/>
      <c r="V64" s="11"/>
      <c r="W64" s="11"/>
      <c r="X64" s="11"/>
      <c r="Y64" s="11"/>
      <c r="Z64" s="11"/>
      <c r="AA64" s="11"/>
      <c r="AB64" s="11"/>
      <c r="AC64" s="11"/>
    </row>
    <row r="65" ht="12.0" customHeight="1">
      <c r="A65" s="11">
        <f>VINMAX</f>
        <v>30</v>
      </c>
      <c r="B65" s="292">
        <f>VINMAX*((ROW()-10)/104)</f>
        <v>15.86538462</v>
      </c>
      <c r="C65" s="267">
        <f t="shared" si="1"/>
        <v>0.2</v>
      </c>
      <c r="D65" s="262">
        <f>B2</f>
        <v>70.4</v>
      </c>
      <c r="E65" s="252">
        <f t="shared" si="2"/>
        <v>4.980680272</v>
      </c>
      <c r="F65" s="267">
        <f>I_Cout_ss+C65</f>
        <v>0.52</v>
      </c>
      <c r="G65" s="267">
        <f t="shared" si="3"/>
        <v>0.52</v>
      </c>
      <c r="H65" s="267">
        <f t="shared" si="4"/>
        <v>0.32</v>
      </c>
      <c r="I65" s="266">
        <f>(COUTMAX/1000000)*(B65-B64)/H65</f>
        <v>0.002704326923</v>
      </c>
      <c r="J65" s="266">
        <f t="shared" si="9"/>
        <v>0.1487379808</v>
      </c>
      <c r="K65" s="291">
        <f t="shared" si="5"/>
        <v>148.7379808</v>
      </c>
      <c r="L65" s="268">
        <f t="shared" si="6"/>
        <v>0.6153846154</v>
      </c>
      <c r="M65" s="11">
        <f>1/COUTMAX*(E65/2-C65)*1000</f>
        <v>0.763446712</v>
      </c>
      <c r="N65" s="289">
        <f t="shared" si="7"/>
        <v>0.01987680288</v>
      </c>
      <c r="O65" s="11">
        <f t="shared" si="8"/>
        <v>7.35</v>
      </c>
      <c r="P65" s="11">
        <f>(A65-B65)*(I_Cout_ss*$Q$2+C65)</f>
        <v>9.046153846</v>
      </c>
      <c r="Q65" s="11">
        <f>(A65-B65)*(I_Cout_ss*$R$2+C65)</f>
        <v>5.653846154</v>
      </c>
      <c r="R65" s="11"/>
      <c r="S65" s="11"/>
      <c r="T65" s="11"/>
      <c r="U65" s="11"/>
      <c r="V65" s="11"/>
      <c r="W65" s="11"/>
      <c r="X65" s="11"/>
      <c r="Y65" s="11"/>
      <c r="Z65" s="11"/>
      <c r="AA65" s="11"/>
      <c r="AB65" s="11"/>
      <c r="AC65" s="11"/>
    </row>
    <row r="66" ht="12.0" customHeight="1">
      <c r="A66" s="11">
        <f>VINMAX</f>
        <v>30</v>
      </c>
      <c r="B66" s="292">
        <f>VINMAX*((ROW()-10)/104)</f>
        <v>16.15384615</v>
      </c>
      <c r="C66" s="267">
        <f t="shared" si="1"/>
        <v>0.2</v>
      </c>
      <c r="D66" s="262">
        <f>B2</f>
        <v>70.4</v>
      </c>
      <c r="E66" s="252">
        <f t="shared" si="2"/>
        <v>5.084444444</v>
      </c>
      <c r="F66" s="267">
        <f>I_Cout_ss+C66</f>
        <v>0.52</v>
      </c>
      <c r="G66" s="267">
        <f t="shared" si="3"/>
        <v>0.52</v>
      </c>
      <c r="H66" s="267">
        <f t="shared" si="4"/>
        <v>0.32</v>
      </c>
      <c r="I66" s="266">
        <f>(COUTMAX/1000000)*(B66-B65)/H66</f>
        <v>0.002704326923</v>
      </c>
      <c r="J66" s="266">
        <f t="shared" si="9"/>
        <v>0.1514423077</v>
      </c>
      <c r="K66" s="291">
        <f t="shared" si="5"/>
        <v>151.4423077</v>
      </c>
      <c r="L66" s="268">
        <f t="shared" si="6"/>
        <v>0.6153846154</v>
      </c>
      <c r="M66" s="11">
        <f>1/COUTMAX*(E66/2-C66)*1000</f>
        <v>0.7807407407</v>
      </c>
      <c r="N66" s="289">
        <f t="shared" si="7"/>
        <v>0.01947115385</v>
      </c>
      <c r="O66" s="11">
        <f t="shared" si="8"/>
        <v>7.2</v>
      </c>
      <c r="P66" s="11">
        <f>(A66-B66)*(I_Cout_ss*$Q$2+C66)</f>
        <v>8.861538462</v>
      </c>
      <c r="Q66" s="11">
        <f>(A66-B66)*(I_Cout_ss*$R$2+C66)</f>
        <v>5.538461538</v>
      </c>
      <c r="R66" s="11"/>
      <c r="S66" s="11"/>
      <c r="T66" s="11"/>
      <c r="U66" s="11"/>
      <c r="V66" s="11"/>
      <c r="W66" s="11"/>
      <c r="X66" s="11"/>
      <c r="Y66" s="11"/>
      <c r="Z66" s="11"/>
      <c r="AA66" s="11"/>
      <c r="AB66" s="11"/>
      <c r="AC66" s="11"/>
    </row>
    <row r="67" ht="12.0" customHeight="1">
      <c r="A67" s="11">
        <f>VINMAX</f>
        <v>30</v>
      </c>
      <c r="B67" s="292">
        <f>VINMAX*((ROW()-10)/104)</f>
        <v>16.44230769</v>
      </c>
      <c r="C67" s="267">
        <f t="shared" si="1"/>
        <v>0.2</v>
      </c>
      <c r="D67" s="262">
        <f>B2</f>
        <v>70.4</v>
      </c>
      <c r="E67" s="252">
        <f t="shared" si="2"/>
        <v>5.192624113</v>
      </c>
      <c r="F67" s="267">
        <f>I_Cout_ss+C67</f>
        <v>0.52</v>
      </c>
      <c r="G67" s="267">
        <f t="shared" si="3"/>
        <v>0.52</v>
      </c>
      <c r="H67" s="267">
        <f t="shared" si="4"/>
        <v>0.32</v>
      </c>
      <c r="I67" s="266">
        <f>(COUTMAX/1000000)*(B67-B66)/H67</f>
        <v>0.002704326923</v>
      </c>
      <c r="J67" s="266">
        <f t="shared" si="9"/>
        <v>0.1541466346</v>
      </c>
      <c r="K67" s="291">
        <f t="shared" si="5"/>
        <v>154.1466346</v>
      </c>
      <c r="L67" s="268">
        <f t="shared" si="6"/>
        <v>0.6153846154</v>
      </c>
      <c r="M67" s="11">
        <f>1/COUTMAX*(E67/2-C67)*1000</f>
        <v>0.7987706856</v>
      </c>
      <c r="N67" s="289">
        <f t="shared" si="7"/>
        <v>0.01906550481</v>
      </c>
      <c r="O67" s="11">
        <f t="shared" si="8"/>
        <v>7.05</v>
      </c>
      <c r="P67" s="11">
        <f>(A67-B67)*(I_Cout_ss*$Q$2+C67)</f>
        <v>8.676923077</v>
      </c>
      <c r="Q67" s="11">
        <f>(A67-B67)*(I_Cout_ss*$R$2+C67)</f>
        <v>5.423076923</v>
      </c>
      <c r="R67" s="11"/>
      <c r="S67" s="11"/>
      <c r="T67" s="11"/>
      <c r="U67" s="11"/>
      <c r="V67" s="11"/>
      <c r="W67" s="11"/>
      <c r="X67" s="11"/>
      <c r="Y67" s="11"/>
      <c r="Z67" s="11"/>
      <c r="AA67" s="11"/>
      <c r="AB67" s="11"/>
      <c r="AC67" s="11"/>
    </row>
    <row r="68" ht="12.0" customHeight="1">
      <c r="A68" s="11">
        <f>VINMAX</f>
        <v>30</v>
      </c>
      <c r="B68" s="292">
        <f>VINMAX*((ROW()-10)/104)</f>
        <v>16.73076923</v>
      </c>
      <c r="C68" s="267">
        <f t="shared" si="1"/>
        <v>0.2</v>
      </c>
      <c r="D68" s="262">
        <f>B2</f>
        <v>70.4</v>
      </c>
      <c r="E68" s="252">
        <f t="shared" si="2"/>
        <v>5.305507246</v>
      </c>
      <c r="F68" s="267">
        <f>I_Cout_ss+C68</f>
        <v>0.52</v>
      </c>
      <c r="G68" s="267">
        <f t="shared" si="3"/>
        <v>0.52</v>
      </c>
      <c r="H68" s="267">
        <f t="shared" si="4"/>
        <v>0.32</v>
      </c>
      <c r="I68" s="266">
        <f>(COUTMAX/1000000)*(B68-B67)/H68</f>
        <v>0.002704326923</v>
      </c>
      <c r="J68" s="266">
        <f t="shared" si="9"/>
        <v>0.1568509615</v>
      </c>
      <c r="K68" s="291">
        <f t="shared" si="5"/>
        <v>156.8509615</v>
      </c>
      <c r="L68" s="268">
        <f t="shared" si="6"/>
        <v>0.6153846154</v>
      </c>
      <c r="M68" s="11">
        <f>1/COUTMAX*(E68/2-C68)*1000</f>
        <v>0.8175845411</v>
      </c>
      <c r="N68" s="289">
        <f t="shared" si="7"/>
        <v>0.01865985577</v>
      </c>
      <c r="O68" s="11">
        <f t="shared" si="8"/>
        <v>6.9</v>
      </c>
      <c r="P68" s="11">
        <f>(A68-B68)*(I_Cout_ss*$Q$2+C68)</f>
        <v>8.492307692</v>
      </c>
      <c r="Q68" s="11">
        <f>(A68-B68)*(I_Cout_ss*$R$2+C68)</f>
        <v>5.307692308</v>
      </c>
      <c r="R68" s="11"/>
      <c r="S68" s="11"/>
      <c r="T68" s="11"/>
      <c r="U68" s="11"/>
      <c r="V68" s="11"/>
      <c r="W68" s="11"/>
      <c r="X68" s="11"/>
      <c r="Y68" s="11"/>
      <c r="Z68" s="11"/>
      <c r="AA68" s="11"/>
      <c r="AB68" s="11"/>
      <c r="AC68" s="11"/>
    </row>
    <row r="69" ht="12.0" customHeight="1">
      <c r="A69" s="11">
        <f>VINMAX</f>
        <v>30</v>
      </c>
      <c r="B69" s="292">
        <f>VINMAX*((ROW()-10)/104)</f>
        <v>17.01923077</v>
      </c>
      <c r="C69" s="267">
        <f t="shared" si="1"/>
        <v>0.2</v>
      </c>
      <c r="D69" s="262">
        <f>B2</f>
        <v>70.4</v>
      </c>
      <c r="E69" s="252">
        <f t="shared" si="2"/>
        <v>5.423407407</v>
      </c>
      <c r="F69" s="267">
        <f>I_Cout_ss+C69</f>
        <v>0.52</v>
      </c>
      <c r="G69" s="267">
        <f t="shared" si="3"/>
        <v>0.52</v>
      </c>
      <c r="H69" s="267">
        <f t="shared" si="4"/>
        <v>0.32</v>
      </c>
      <c r="I69" s="266">
        <f>(COUTMAX/1000000)*(B69-B68)/H69</f>
        <v>0.002704326923</v>
      </c>
      <c r="J69" s="266">
        <f t="shared" si="9"/>
        <v>0.1595552885</v>
      </c>
      <c r="K69" s="291">
        <f t="shared" si="5"/>
        <v>159.5552885</v>
      </c>
      <c r="L69" s="268">
        <f t="shared" si="6"/>
        <v>0.6153846154</v>
      </c>
      <c r="M69" s="11">
        <f>1/COUTMAX*(E69/2-C69)*1000</f>
        <v>0.8372345679</v>
      </c>
      <c r="N69" s="289">
        <f t="shared" si="7"/>
        <v>0.01825420673</v>
      </c>
      <c r="O69" s="11">
        <f t="shared" si="8"/>
        <v>6.75</v>
      </c>
      <c r="P69" s="11">
        <f>(A69-B69)*(I_Cout_ss*$Q$2+C69)</f>
        <v>8.307692308</v>
      </c>
      <c r="Q69" s="11">
        <f>(A69-B69)*(I_Cout_ss*$R$2+C69)</f>
        <v>5.192307692</v>
      </c>
      <c r="R69" s="11"/>
      <c r="S69" s="11"/>
      <c r="T69" s="11"/>
      <c r="U69" s="11"/>
      <c r="V69" s="11"/>
      <c r="W69" s="11"/>
      <c r="X69" s="11"/>
      <c r="Y69" s="11"/>
      <c r="Z69" s="11"/>
      <c r="AA69" s="11"/>
      <c r="AB69" s="11"/>
      <c r="AC69" s="11"/>
    </row>
    <row r="70" ht="12.0" customHeight="1">
      <c r="A70" s="11">
        <f>VINMAX</f>
        <v>30</v>
      </c>
      <c r="B70" s="292">
        <f>VINMAX*((ROW()-10)/104)</f>
        <v>17.30769231</v>
      </c>
      <c r="C70" s="267">
        <f t="shared" si="1"/>
        <v>0.2</v>
      </c>
      <c r="D70" s="262">
        <f>B2</f>
        <v>70.4</v>
      </c>
      <c r="E70" s="252">
        <f t="shared" si="2"/>
        <v>5.546666667</v>
      </c>
      <c r="F70" s="267">
        <f>I_Cout_ss+C70</f>
        <v>0.52</v>
      </c>
      <c r="G70" s="267">
        <f t="shared" si="3"/>
        <v>0.52</v>
      </c>
      <c r="H70" s="267">
        <f t="shared" si="4"/>
        <v>0.32</v>
      </c>
      <c r="I70" s="266">
        <f>(COUTMAX/1000000)*(B70-B69)/H70</f>
        <v>0.002704326923</v>
      </c>
      <c r="J70" s="266">
        <f t="shared" si="9"/>
        <v>0.1622596154</v>
      </c>
      <c r="K70" s="291">
        <f t="shared" si="5"/>
        <v>162.2596154</v>
      </c>
      <c r="L70" s="268">
        <f t="shared" si="6"/>
        <v>0.6153846154</v>
      </c>
      <c r="M70" s="11">
        <f>1/COUTMAX*(E70/2-C70)*1000</f>
        <v>0.8577777778</v>
      </c>
      <c r="N70" s="289">
        <f t="shared" si="7"/>
        <v>0.01784855769</v>
      </c>
      <c r="O70" s="11">
        <f t="shared" si="8"/>
        <v>6.6</v>
      </c>
      <c r="P70" s="11">
        <f>(A70-B70)*(I_Cout_ss*$Q$2+C70)</f>
        <v>8.123076923</v>
      </c>
      <c r="Q70" s="11">
        <f>(A70-B70)*(I_Cout_ss*$R$2+C70)</f>
        <v>5.076923077</v>
      </c>
      <c r="R70" s="11"/>
      <c r="S70" s="11"/>
      <c r="T70" s="11"/>
      <c r="U70" s="11"/>
      <c r="V70" s="11"/>
      <c r="W70" s="11"/>
      <c r="X70" s="11"/>
      <c r="Y70" s="11"/>
      <c r="Z70" s="11"/>
      <c r="AA70" s="11"/>
      <c r="AB70" s="11"/>
      <c r="AC70" s="11"/>
    </row>
    <row r="71" ht="12.0" customHeight="1">
      <c r="A71" s="11">
        <f>VINMAX</f>
        <v>30</v>
      </c>
      <c r="B71" s="292">
        <f>VINMAX*((ROW()-10)/104)</f>
        <v>17.59615385</v>
      </c>
      <c r="C71" s="267">
        <f t="shared" si="1"/>
        <v>0.2</v>
      </c>
      <c r="D71" s="262">
        <f>B2</f>
        <v>70.4</v>
      </c>
      <c r="E71" s="252">
        <f t="shared" si="2"/>
        <v>5.675658915</v>
      </c>
      <c r="F71" s="267">
        <f>I_Cout_ss+C71</f>
        <v>0.52</v>
      </c>
      <c r="G71" s="267">
        <f t="shared" si="3"/>
        <v>0.52</v>
      </c>
      <c r="H71" s="267">
        <f t="shared" si="4"/>
        <v>0.32</v>
      </c>
      <c r="I71" s="266">
        <f>(COUTMAX/1000000)*(B71-B70)/H71</f>
        <v>0.002704326923</v>
      </c>
      <c r="J71" s="266">
        <f t="shared" si="9"/>
        <v>0.1649639423</v>
      </c>
      <c r="K71" s="291">
        <f t="shared" si="5"/>
        <v>164.9639423</v>
      </c>
      <c r="L71" s="268">
        <f t="shared" si="6"/>
        <v>0.6153846154</v>
      </c>
      <c r="M71" s="11">
        <f>1/COUTMAX*(E71/2-C71)*1000</f>
        <v>0.8792764858</v>
      </c>
      <c r="N71" s="289">
        <f t="shared" si="7"/>
        <v>0.01744290865</v>
      </c>
      <c r="O71" s="11">
        <f t="shared" si="8"/>
        <v>6.45</v>
      </c>
      <c r="P71" s="11">
        <f>(A71-B71)*(I_Cout_ss*$Q$2+C71)</f>
        <v>7.938461538</v>
      </c>
      <c r="Q71" s="11">
        <f>(A71-B71)*(I_Cout_ss*$R$2+C71)</f>
        <v>4.961538462</v>
      </c>
      <c r="R71" s="11"/>
      <c r="S71" s="11"/>
      <c r="T71" s="11"/>
      <c r="U71" s="11"/>
      <c r="V71" s="11"/>
      <c r="W71" s="11"/>
      <c r="X71" s="11"/>
      <c r="Y71" s="11"/>
      <c r="Z71" s="11"/>
      <c r="AA71" s="11"/>
      <c r="AB71" s="11"/>
      <c r="AC71" s="11"/>
    </row>
    <row r="72" ht="12.0" customHeight="1">
      <c r="A72" s="11">
        <f>VINMAX</f>
        <v>30</v>
      </c>
      <c r="B72" s="292">
        <f>VINMAX*((ROW()-10)/104)</f>
        <v>17.88461538</v>
      </c>
      <c r="C72" s="267">
        <f t="shared" si="1"/>
        <v>0.2</v>
      </c>
      <c r="D72" s="262">
        <f>B2</f>
        <v>70.4</v>
      </c>
      <c r="E72" s="252">
        <f t="shared" si="2"/>
        <v>5.810793651</v>
      </c>
      <c r="F72" s="267">
        <f>I_Cout_ss+C72</f>
        <v>0.52</v>
      </c>
      <c r="G72" s="267">
        <f t="shared" si="3"/>
        <v>0.52</v>
      </c>
      <c r="H72" s="267">
        <f t="shared" si="4"/>
        <v>0.32</v>
      </c>
      <c r="I72" s="266">
        <f>(COUTMAX/1000000)*(B72-B71)/H72</f>
        <v>0.002704326923</v>
      </c>
      <c r="J72" s="266">
        <f t="shared" si="9"/>
        <v>0.1676682692</v>
      </c>
      <c r="K72" s="291">
        <f t="shared" si="5"/>
        <v>167.6682692</v>
      </c>
      <c r="L72" s="268">
        <f t="shared" si="6"/>
        <v>0.6153846154</v>
      </c>
      <c r="M72" s="11">
        <f>1/COUTMAX*(E72/2-C72)*1000</f>
        <v>0.9017989418</v>
      </c>
      <c r="N72" s="289">
        <f t="shared" si="7"/>
        <v>0.01703725962</v>
      </c>
      <c r="O72" s="11">
        <f t="shared" si="8"/>
        <v>6.3</v>
      </c>
      <c r="P72" s="11">
        <f>(A72-B72)*(I_Cout_ss*$Q$2+C72)</f>
        <v>7.753846154</v>
      </c>
      <c r="Q72" s="11">
        <f>(A72-B72)*(I_Cout_ss*$R$2+C72)</f>
        <v>4.846153846</v>
      </c>
      <c r="R72" s="11"/>
      <c r="S72" s="11"/>
      <c r="T72" s="11"/>
      <c r="U72" s="11"/>
      <c r="V72" s="11"/>
      <c r="W72" s="11"/>
      <c r="X72" s="11"/>
      <c r="Y72" s="11"/>
      <c r="Z72" s="11"/>
      <c r="AA72" s="11"/>
      <c r="AB72" s="11"/>
      <c r="AC72" s="11"/>
    </row>
    <row r="73" ht="12.0" customHeight="1">
      <c r="A73" s="11">
        <f>VINMAX</f>
        <v>30</v>
      </c>
      <c r="B73" s="292">
        <f>VINMAX*((ROW()-10)/104)</f>
        <v>18.17307692</v>
      </c>
      <c r="C73" s="267">
        <f t="shared" si="1"/>
        <v>0.2</v>
      </c>
      <c r="D73" s="262">
        <f>B2</f>
        <v>70.4</v>
      </c>
      <c r="E73" s="252">
        <f t="shared" si="2"/>
        <v>5.952520325</v>
      </c>
      <c r="F73" s="267">
        <f>I_Cout_ss+C73</f>
        <v>0.52</v>
      </c>
      <c r="G73" s="267">
        <f t="shared" si="3"/>
        <v>0.52</v>
      </c>
      <c r="H73" s="267">
        <f t="shared" si="4"/>
        <v>0.32</v>
      </c>
      <c r="I73" s="266">
        <f>(COUTMAX/1000000)*(B73-B72)/H73</f>
        <v>0.002704326923</v>
      </c>
      <c r="J73" s="266">
        <f t="shared" si="9"/>
        <v>0.1703725962</v>
      </c>
      <c r="K73" s="291">
        <f t="shared" si="5"/>
        <v>170.3725962</v>
      </c>
      <c r="L73" s="268">
        <f t="shared" si="6"/>
        <v>0.6153846154</v>
      </c>
      <c r="M73" s="11">
        <f>1/COUTMAX*(E73/2-C73)*1000</f>
        <v>0.9254200542</v>
      </c>
      <c r="N73" s="289">
        <f t="shared" si="7"/>
        <v>0.01663161058</v>
      </c>
      <c r="O73" s="11">
        <f t="shared" si="8"/>
        <v>6.15</v>
      </c>
      <c r="P73" s="11">
        <f>(A73-B73)*(I_Cout_ss*$Q$2+C73)</f>
        <v>7.569230769</v>
      </c>
      <c r="Q73" s="11">
        <f>(A73-B73)*(I_Cout_ss*$R$2+C73)</f>
        <v>4.730769231</v>
      </c>
      <c r="R73" s="11"/>
      <c r="S73" s="11"/>
      <c r="T73" s="11"/>
      <c r="U73" s="11"/>
      <c r="V73" s="11"/>
      <c r="W73" s="11"/>
      <c r="X73" s="11"/>
      <c r="Y73" s="11"/>
      <c r="Z73" s="11"/>
      <c r="AA73" s="11"/>
      <c r="AB73" s="11"/>
      <c r="AC73" s="11"/>
    </row>
    <row r="74" ht="12.0" customHeight="1">
      <c r="A74" s="11">
        <f>VINMAX</f>
        <v>30</v>
      </c>
      <c r="B74" s="292">
        <f>VINMAX*((ROW()-10)/104)</f>
        <v>18.46153846</v>
      </c>
      <c r="C74" s="267">
        <f t="shared" si="1"/>
        <v>0.2</v>
      </c>
      <c r="D74" s="262">
        <f>B2</f>
        <v>70.4</v>
      </c>
      <c r="E74" s="252">
        <f t="shared" si="2"/>
        <v>6.101333333</v>
      </c>
      <c r="F74" s="267">
        <f>I_Cout_ss+C74</f>
        <v>0.52</v>
      </c>
      <c r="G74" s="267">
        <f t="shared" si="3"/>
        <v>0.52</v>
      </c>
      <c r="H74" s="267">
        <f t="shared" si="4"/>
        <v>0.32</v>
      </c>
      <c r="I74" s="266">
        <f>(COUTMAX/1000000)*(B74-B73)/H74</f>
        <v>0.002704326923</v>
      </c>
      <c r="J74" s="266">
        <f t="shared" si="9"/>
        <v>0.1730769231</v>
      </c>
      <c r="K74" s="291">
        <f t="shared" si="5"/>
        <v>173.0769231</v>
      </c>
      <c r="L74" s="268">
        <f t="shared" si="6"/>
        <v>0.6153846154</v>
      </c>
      <c r="M74" s="11">
        <f>1/COUTMAX*(E74/2-C74)*1000</f>
        <v>0.9502222222</v>
      </c>
      <c r="N74" s="289">
        <f t="shared" si="7"/>
        <v>0.01622596154</v>
      </c>
      <c r="O74" s="11">
        <f t="shared" si="8"/>
        <v>6</v>
      </c>
      <c r="P74" s="11">
        <f>(A74-B74)*(I_Cout_ss*$Q$2+C74)</f>
        <v>7.384615385</v>
      </c>
      <c r="Q74" s="11">
        <f>(A74-B74)*(I_Cout_ss*$R$2+C74)</f>
        <v>4.615384615</v>
      </c>
      <c r="R74" s="11"/>
      <c r="S74" s="11"/>
      <c r="T74" s="11"/>
      <c r="U74" s="11"/>
      <c r="V74" s="11"/>
      <c r="W74" s="11"/>
      <c r="X74" s="11"/>
      <c r="Y74" s="11"/>
      <c r="Z74" s="11"/>
      <c r="AA74" s="11"/>
      <c r="AB74" s="11"/>
      <c r="AC74" s="11"/>
    </row>
    <row r="75" ht="12.0" customHeight="1">
      <c r="A75" s="11">
        <f>VINMAX</f>
        <v>30</v>
      </c>
      <c r="B75" s="292">
        <f>VINMAX*((ROW()-10)/104)</f>
        <v>18.75</v>
      </c>
      <c r="C75" s="267">
        <f t="shared" si="1"/>
        <v>0.2</v>
      </c>
      <c r="D75" s="262">
        <f>B2</f>
        <v>70.4</v>
      </c>
      <c r="E75" s="252">
        <f t="shared" si="2"/>
        <v>6.257777778</v>
      </c>
      <c r="F75" s="267">
        <f>I_Cout_ss+C75</f>
        <v>0.52</v>
      </c>
      <c r="G75" s="267">
        <f t="shared" si="3"/>
        <v>0.52</v>
      </c>
      <c r="H75" s="267">
        <f t="shared" si="4"/>
        <v>0.32</v>
      </c>
      <c r="I75" s="266">
        <f>(COUTMAX/1000000)*(B75-B74)/H75</f>
        <v>0.002704326923</v>
      </c>
      <c r="J75" s="266">
        <f t="shared" si="9"/>
        <v>0.17578125</v>
      </c>
      <c r="K75" s="291">
        <f t="shared" si="5"/>
        <v>175.78125</v>
      </c>
      <c r="L75" s="268">
        <f t="shared" si="6"/>
        <v>0.6153846154</v>
      </c>
      <c r="M75" s="11">
        <f>1/COUTMAX*(E75/2-C75)*1000</f>
        <v>0.9762962963</v>
      </c>
      <c r="N75" s="289">
        <f t="shared" si="7"/>
        <v>0.0158203125</v>
      </c>
      <c r="O75" s="11">
        <f t="shared" si="8"/>
        <v>5.85</v>
      </c>
      <c r="P75" s="11">
        <f>(A75-B75)*(I_Cout_ss*$Q$2+C75)</f>
        <v>7.2</v>
      </c>
      <c r="Q75" s="11">
        <f>(A75-B75)*(I_Cout_ss*$R$2+C75)</f>
        <v>4.5</v>
      </c>
      <c r="R75" s="11"/>
      <c r="S75" s="11"/>
      <c r="T75" s="11"/>
      <c r="U75" s="11"/>
      <c r="V75" s="11"/>
      <c r="W75" s="11"/>
      <c r="X75" s="11"/>
      <c r="Y75" s="11"/>
      <c r="Z75" s="11"/>
      <c r="AA75" s="11"/>
      <c r="AB75" s="11"/>
      <c r="AC75" s="11"/>
    </row>
    <row r="76" ht="12.0" customHeight="1">
      <c r="A76" s="11">
        <f>VINMAX</f>
        <v>30</v>
      </c>
      <c r="B76" s="292">
        <f>VINMAX*((ROW()-10)/104)</f>
        <v>19.03846154</v>
      </c>
      <c r="C76" s="267">
        <f t="shared" si="1"/>
        <v>0.2</v>
      </c>
      <c r="D76" s="262">
        <f>B2</f>
        <v>70.4</v>
      </c>
      <c r="E76" s="252">
        <f t="shared" si="2"/>
        <v>6.42245614</v>
      </c>
      <c r="F76" s="267">
        <f>I_Cout_ss+C76</f>
        <v>0.52</v>
      </c>
      <c r="G76" s="267">
        <f t="shared" si="3"/>
        <v>0.52</v>
      </c>
      <c r="H76" s="267">
        <f t="shared" si="4"/>
        <v>0.32</v>
      </c>
      <c r="I76" s="266">
        <f>(COUTMAX/1000000)*(B76-B75)/H76</f>
        <v>0.002704326923</v>
      </c>
      <c r="J76" s="266">
        <f t="shared" si="9"/>
        <v>0.1784855769</v>
      </c>
      <c r="K76" s="291">
        <f t="shared" si="5"/>
        <v>178.4855769</v>
      </c>
      <c r="L76" s="268">
        <f t="shared" si="6"/>
        <v>0.6153846154</v>
      </c>
      <c r="M76" s="11">
        <f>1/COUTMAX*(E76/2-C76)*1000</f>
        <v>1.00374269</v>
      </c>
      <c r="N76" s="289">
        <f t="shared" si="7"/>
        <v>0.01541466346</v>
      </c>
      <c r="O76" s="11">
        <f t="shared" si="8"/>
        <v>5.7</v>
      </c>
      <c r="P76" s="11">
        <f>(A76-B76)*(I_Cout_ss*$Q$2+C76)</f>
        <v>7.015384615</v>
      </c>
      <c r="Q76" s="11">
        <f>(A76-B76)*(I_Cout_ss*$R$2+C76)</f>
        <v>4.384615385</v>
      </c>
      <c r="R76" s="11"/>
      <c r="S76" s="11"/>
      <c r="T76" s="11"/>
      <c r="U76" s="11"/>
      <c r="V76" s="11"/>
      <c r="W76" s="11"/>
      <c r="X76" s="11"/>
      <c r="Y76" s="11"/>
      <c r="Z76" s="11"/>
      <c r="AA76" s="11"/>
      <c r="AB76" s="11"/>
      <c r="AC76" s="11"/>
    </row>
    <row r="77" ht="12.0" customHeight="1">
      <c r="A77" s="11">
        <f>VINMAX</f>
        <v>30</v>
      </c>
      <c r="B77" s="292">
        <f>VINMAX*((ROW()-10)/104)</f>
        <v>19.32692308</v>
      </c>
      <c r="C77" s="267">
        <f t="shared" si="1"/>
        <v>0.2</v>
      </c>
      <c r="D77" s="262">
        <f>B2</f>
        <v>70.4</v>
      </c>
      <c r="E77" s="252">
        <f t="shared" si="2"/>
        <v>6.596036036</v>
      </c>
      <c r="F77" s="267">
        <f>I_Cout_ss+C77</f>
        <v>0.52</v>
      </c>
      <c r="G77" s="267">
        <f t="shared" si="3"/>
        <v>0.52</v>
      </c>
      <c r="H77" s="267">
        <f t="shared" si="4"/>
        <v>0.32</v>
      </c>
      <c r="I77" s="266">
        <f>(COUTMAX/1000000)*(B77-B76)/H77</f>
        <v>0.002704326923</v>
      </c>
      <c r="J77" s="266">
        <f t="shared" si="9"/>
        <v>0.1811899038</v>
      </c>
      <c r="K77" s="291">
        <f t="shared" si="5"/>
        <v>181.1899038</v>
      </c>
      <c r="L77" s="268">
        <f t="shared" si="6"/>
        <v>0.6153846154</v>
      </c>
      <c r="M77" s="11">
        <f>1/COUTMAX*(E77/2-C77)*1000</f>
        <v>1.032672673</v>
      </c>
      <c r="N77" s="289">
        <f t="shared" si="7"/>
        <v>0.01500901442</v>
      </c>
      <c r="O77" s="11">
        <f t="shared" si="8"/>
        <v>5.55</v>
      </c>
      <c r="P77" s="11">
        <f>(A77-B77)*(I_Cout_ss*$Q$2+C77)</f>
        <v>6.830769231</v>
      </c>
      <c r="Q77" s="11">
        <f>(A77-B77)*(I_Cout_ss*$R$2+C77)</f>
        <v>4.269230769</v>
      </c>
      <c r="R77" s="11"/>
      <c r="S77" s="11"/>
      <c r="T77" s="11"/>
      <c r="U77" s="11"/>
      <c r="V77" s="11"/>
      <c r="W77" s="11"/>
      <c r="X77" s="11"/>
      <c r="Y77" s="11"/>
      <c r="Z77" s="11"/>
      <c r="AA77" s="11"/>
      <c r="AB77" s="11"/>
      <c r="AC77" s="11"/>
    </row>
    <row r="78" ht="12.0" customHeight="1">
      <c r="A78" s="11">
        <f>VINMAX</f>
        <v>30</v>
      </c>
      <c r="B78" s="292">
        <f>VINMAX*((ROW()-10)/104)</f>
        <v>19.61538462</v>
      </c>
      <c r="C78" s="267">
        <f t="shared" si="1"/>
        <v>0.2</v>
      </c>
      <c r="D78" s="262">
        <f>B2</f>
        <v>70.4</v>
      </c>
      <c r="E78" s="252">
        <f t="shared" si="2"/>
        <v>6.779259259</v>
      </c>
      <c r="F78" s="267">
        <f>I_Cout_ss+C78</f>
        <v>0.52</v>
      </c>
      <c r="G78" s="267">
        <f t="shared" si="3"/>
        <v>0.52</v>
      </c>
      <c r="H78" s="267">
        <f t="shared" si="4"/>
        <v>0.32</v>
      </c>
      <c r="I78" s="266">
        <f>(COUTMAX/1000000)*(B78-B77)/H78</f>
        <v>0.002704326923</v>
      </c>
      <c r="J78" s="266">
        <f t="shared" si="9"/>
        <v>0.1838942308</v>
      </c>
      <c r="K78" s="291">
        <f t="shared" si="5"/>
        <v>183.8942308</v>
      </c>
      <c r="L78" s="268">
        <f t="shared" si="6"/>
        <v>0.6153846154</v>
      </c>
      <c r="M78" s="11">
        <f>1/COUTMAX*(E78/2-C78)*1000</f>
        <v>1.063209877</v>
      </c>
      <c r="N78" s="289">
        <f t="shared" si="7"/>
        <v>0.01460336538</v>
      </c>
      <c r="O78" s="11">
        <f t="shared" si="8"/>
        <v>5.4</v>
      </c>
      <c r="P78" s="11">
        <f>(A78-B78)*(I_Cout_ss*$Q$2+C78)</f>
        <v>6.646153846</v>
      </c>
      <c r="Q78" s="11">
        <f>(A78-B78)*(I_Cout_ss*$R$2+C78)</f>
        <v>4.153846154</v>
      </c>
      <c r="R78" s="11"/>
      <c r="S78" s="11"/>
      <c r="T78" s="11"/>
      <c r="U78" s="11"/>
      <c r="V78" s="11"/>
      <c r="W78" s="11"/>
      <c r="X78" s="11"/>
      <c r="Y78" s="11"/>
      <c r="Z78" s="11"/>
      <c r="AA78" s="11"/>
      <c r="AB78" s="11"/>
      <c r="AC78" s="11"/>
    </row>
    <row r="79" ht="12.0" customHeight="1">
      <c r="A79" s="11">
        <f>VINMAX</f>
        <v>30</v>
      </c>
      <c r="B79" s="292">
        <f>VINMAX*((ROW()-10)/104)</f>
        <v>19.90384615</v>
      </c>
      <c r="C79" s="267">
        <f t="shared" si="1"/>
        <v>0.2</v>
      </c>
      <c r="D79" s="262">
        <f>B2</f>
        <v>70.4</v>
      </c>
      <c r="E79" s="252">
        <f t="shared" si="2"/>
        <v>6.972952381</v>
      </c>
      <c r="F79" s="267">
        <f>I_Cout_ss+C79</f>
        <v>0.52</v>
      </c>
      <c r="G79" s="267">
        <f t="shared" si="3"/>
        <v>0.52</v>
      </c>
      <c r="H79" s="267">
        <f t="shared" si="4"/>
        <v>0.32</v>
      </c>
      <c r="I79" s="266">
        <f>(COUTMAX/1000000)*(B79-B78)/H79</f>
        <v>0.002704326923</v>
      </c>
      <c r="J79" s="266">
        <f t="shared" si="9"/>
        <v>0.1865985577</v>
      </c>
      <c r="K79" s="291">
        <f t="shared" si="5"/>
        <v>186.5985577</v>
      </c>
      <c r="L79" s="268">
        <f t="shared" si="6"/>
        <v>0.6153846154</v>
      </c>
      <c r="M79" s="11">
        <f>1/COUTMAX*(E79/2-C79)*1000</f>
        <v>1.095492063</v>
      </c>
      <c r="N79" s="289">
        <f t="shared" si="7"/>
        <v>0.01419771635</v>
      </c>
      <c r="O79" s="11">
        <f t="shared" si="8"/>
        <v>5.25</v>
      </c>
      <c r="P79" s="11">
        <f>(A79-B79)*(I_Cout_ss*$Q$2+C79)</f>
        <v>6.461538462</v>
      </c>
      <c r="Q79" s="11">
        <f>(A79-B79)*(I_Cout_ss*$R$2+C79)</f>
        <v>4.038461538</v>
      </c>
      <c r="R79" s="11"/>
      <c r="S79" s="11"/>
      <c r="T79" s="11"/>
      <c r="U79" s="11"/>
      <c r="V79" s="11"/>
      <c r="W79" s="11"/>
      <c r="X79" s="11"/>
      <c r="Y79" s="11"/>
      <c r="Z79" s="11"/>
      <c r="AA79" s="11"/>
      <c r="AB79" s="11"/>
      <c r="AC79" s="11"/>
    </row>
    <row r="80" ht="12.0" customHeight="1">
      <c r="A80" s="11">
        <f>VINMAX</f>
        <v>30</v>
      </c>
      <c r="B80" s="292">
        <f>VINMAX*((ROW()-10)/104)</f>
        <v>20.19230769</v>
      </c>
      <c r="C80" s="267">
        <f t="shared" si="1"/>
        <v>0.2</v>
      </c>
      <c r="D80" s="262">
        <f>B2</f>
        <v>70.4</v>
      </c>
      <c r="E80" s="252">
        <f t="shared" si="2"/>
        <v>7.178039216</v>
      </c>
      <c r="F80" s="267">
        <f>I_Cout_ss+C80</f>
        <v>0.52</v>
      </c>
      <c r="G80" s="267">
        <f t="shared" si="3"/>
        <v>0.52</v>
      </c>
      <c r="H80" s="267">
        <f t="shared" si="4"/>
        <v>0.32</v>
      </c>
      <c r="I80" s="266">
        <f>(COUTMAX/1000000)*(B80-B79)/H80</f>
        <v>0.002704326923</v>
      </c>
      <c r="J80" s="266">
        <f t="shared" si="9"/>
        <v>0.1893028846</v>
      </c>
      <c r="K80" s="291">
        <f t="shared" si="5"/>
        <v>189.3028846</v>
      </c>
      <c r="L80" s="268">
        <f t="shared" si="6"/>
        <v>0.6153846154</v>
      </c>
      <c r="M80" s="11">
        <f>1/COUTMAX*(E80/2-C80)*1000</f>
        <v>1.129673203</v>
      </c>
      <c r="N80" s="289">
        <f t="shared" si="7"/>
        <v>0.01379206731</v>
      </c>
      <c r="O80" s="11">
        <f t="shared" si="8"/>
        <v>5.1</v>
      </c>
      <c r="P80" s="11">
        <f>(A80-B80)*(I_Cout_ss*$Q$2+C80)</f>
        <v>6.276923077</v>
      </c>
      <c r="Q80" s="11">
        <f>(A80-B80)*(I_Cout_ss*$R$2+C80)</f>
        <v>3.923076923</v>
      </c>
      <c r="R80" s="11"/>
      <c r="S80" s="11"/>
      <c r="T80" s="11"/>
      <c r="U80" s="11"/>
      <c r="V80" s="11"/>
      <c r="W80" s="11"/>
      <c r="X80" s="11"/>
      <c r="Y80" s="11"/>
      <c r="Z80" s="11"/>
      <c r="AA80" s="11"/>
      <c r="AB80" s="11"/>
      <c r="AC80" s="11"/>
    </row>
    <row r="81" ht="12.0" customHeight="1">
      <c r="A81" s="11">
        <f>VINMAX</f>
        <v>30</v>
      </c>
      <c r="B81" s="292">
        <f>VINMAX*((ROW()-10)/104)</f>
        <v>20.48076923</v>
      </c>
      <c r="C81" s="267">
        <f t="shared" si="1"/>
        <v>0.2</v>
      </c>
      <c r="D81" s="262">
        <f>B2</f>
        <v>70.4</v>
      </c>
      <c r="E81" s="252">
        <f t="shared" si="2"/>
        <v>7.395555556</v>
      </c>
      <c r="F81" s="267">
        <f>I_Cout_ss+C81</f>
        <v>0.52</v>
      </c>
      <c r="G81" s="267">
        <f t="shared" si="3"/>
        <v>0.52</v>
      </c>
      <c r="H81" s="267">
        <f t="shared" si="4"/>
        <v>0.32</v>
      </c>
      <c r="I81" s="266">
        <f>(COUTMAX/1000000)*(B81-B80)/H81</f>
        <v>0.002704326923</v>
      </c>
      <c r="J81" s="266">
        <f t="shared" si="9"/>
        <v>0.1920072115</v>
      </c>
      <c r="K81" s="291">
        <f t="shared" si="5"/>
        <v>192.0072115</v>
      </c>
      <c r="L81" s="268">
        <f t="shared" si="6"/>
        <v>0.6153846154</v>
      </c>
      <c r="M81" s="11">
        <f>1/COUTMAX*(E81/2-C81)*1000</f>
        <v>1.165925926</v>
      </c>
      <c r="N81" s="289">
        <f t="shared" si="7"/>
        <v>0.01338641827</v>
      </c>
      <c r="O81" s="11">
        <f t="shared" si="8"/>
        <v>4.95</v>
      </c>
      <c r="P81" s="11">
        <f>(A81-B81)*(I_Cout_ss*$Q$2+C81)</f>
        <v>6.092307692</v>
      </c>
      <c r="Q81" s="11">
        <f>(A81-B81)*(I_Cout_ss*$R$2+C81)</f>
        <v>3.807692308</v>
      </c>
      <c r="R81" s="11"/>
      <c r="S81" s="11"/>
      <c r="T81" s="11"/>
      <c r="U81" s="11"/>
      <c r="V81" s="11"/>
      <c r="W81" s="11"/>
      <c r="X81" s="11"/>
      <c r="Y81" s="11"/>
      <c r="Z81" s="11"/>
      <c r="AA81" s="11"/>
      <c r="AB81" s="11"/>
      <c r="AC81" s="11"/>
    </row>
    <row r="82" ht="12.0" customHeight="1">
      <c r="A82" s="11">
        <f>VINMAX</f>
        <v>30</v>
      </c>
      <c r="B82" s="292">
        <f>VINMAX*((ROW()-10)/104)</f>
        <v>20.76923077</v>
      </c>
      <c r="C82" s="267">
        <f t="shared" si="1"/>
        <v>0.2</v>
      </c>
      <c r="D82" s="262">
        <f>B2</f>
        <v>70.4</v>
      </c>
      <c r="E82" s="252">
        <f t="shared" si="2"/>
        <v>7.626666667</v>
      </c>
      <c r="F82" s="267">
        <f>I_Cout_ss+C82</f>
        <v>0.52</v>
      </c>
      <c r="G82" s="267">
        <f t="shared" si="3"/>
        <v>0.52</v>
      </c>
      <c r="H82" s="267">
        <f t="shared" si="4"/>
        <v>0.32</v>
      </c>
      <c r="I82" s="266">
        <f>(COUTMAX/1000000)*(B82-B81)/H82</f>
        <v>0.002704326923</v>
      </c>
      <c r="J82" s="266">
        <f t="shared" si="9"/>
        <v>0.1947115385</v>
      </c>
      <c r="K82" s="291">
        <f t="shared" si="5"/>
        <v>194.7115385</v>
      </c>
      <c r="L82" s="268">
        <f t="shared" si="6"/>
        <v>0.6153846154</v>
      </c>
      <c r="M82" s="11">
        <f>1/COUTMAX*(E82/2-C82)*1000</f>
        <v>1.204444444</v>
      </c>
      <c r="N82" s="289">
        <f t="shared" si="7"/>
        <v>0.01298076923</v>
      </c>
      <c r="O82" s="11">
        <f t="shared" si="8"/>
        <v>4.8</v>
      </c>
      <c r="P82" s="11">
        <f>(A82-B82)*(I_Cout_ss*$Q$2+C82)</f>
        <v>5.907692308</v>
      </c>
      <c r="Q82" s="11">
        <f>(A82-B82)*(I_Cout_ss*$R$2+C82)</f>
        <v>3.692307692</v>
      </c>
      <c r="R82" s="11"/>
      <c r="S82" s="11"/>
      <c r="T82" s="11"/>
      <c r="U82" s="11"/>
      <c r="V82" s="11"/>
      <c r="W82" s="11"/>
      <c r="X82" s="11"/>
      <c r="Y82" s="11"/>
      <c r="Z82" s="11"/>
      <c r="AA82" s="11"/>
      <c r="AB82" s="11"/>
      <c r="AC82" s="11"/>
    </row>
    <row r="83" ht="12.0" customHeight="1">
      <c r="A83" s="11">
        <f>VINMAX</f>
        <v>30</v>
      </c>
      <c r="B83" s="292">
        <f>VINMAX*((ROW()-10)/104)</f>
        <v>21.05769231</v>
      </c>
      <c r="C83" s="267">
        <f t="shared" si="1"/>
        <v>0.2</v>
      </c>
      <c r="D83" s="262">
        <f>B2</f>
        <v>70.4</v>
      </c>
      <c r="E83" s="252">
        <f t="shared" si="2"/>
        <v>7.872688172</v>
      </c>
      <c r="F83" s="267">
        <f>I_Cout_ss+C83</f>
        <v>0.52</v>
      </c>
      <c r="G83" s="267">
        <f t="shared" si="3"/>
        <v>0.52</v>
      </c>
      <c r="H83" s="267">
        <f t="shared" si="4"/>
        <v>0.32</v>
      </c>
      <c r="I83" s="266">
        <f>(COUTMAX/1000000)*(B83-B82)/H83</f>
        <v>0.002704326923</v>
      </c>
      <c r="J83" s="266">
        <f t="shared" si="9"/>
        <v>0.1974158654</v>
      </c>
      <c r="K83" s="291">
        <f t="shared" si="5"/>
        <v>197.4158654</v>
      </c>
      <c r="L83" s="268">
        <f t="shared" si="6"/>
        <v>0.6153846154</v>
      </c>
      <c r="M83" s="11">
        <f>1/COUTMAX*(E83/2-C83)*1000</f>
        <v>1.245448029</v>
      </c>
      <c r="N83" s="289">
        <f t="shared" si="7"/>
        <v>0.01257512019</v>
      </c>
      <c r="O83" s="11">
        <f t="shared" si="8"/>
        <v>4.65</v>
      </c>
      <c r="P83" s="11">
        <f>(A83-B83)*(I_Cout_ss*$Q$2+C83)</f>
        <v>5.723076923</v>
      </c>
      <c r="Q83" s="11">
        <f>(A83-B83)*(I_Cout_ss*$R$2+C83)</f>
        <v>3.576923077</v>
      </c>
      <c r="R83" s="11"/>
      <c r="S83" s="11"/>
      <c r="T83" s="11"/>
      <c r="U83" s="11"/>
      <c r="V83" s="11"/>
      <c r="W83" s="11"/>
      <c r="X83" s="11"/>
      <c r="Y83" s="11"/>
      <c r="Z83" s="11"/>
      <c r="AA83" s="11"/>
      <c r="AB83" s="11"/>
      <c r="AC83" s="11"/>
    </row>
    <row r="84" ht="12.0" customHeight="1">
      <c r="A84" s="11">
        <f>VINMAX</f>
        <v>30</v>
      </c>
      <c r="B84" s="292">
        <f>VINMAX*((ROW()-10)/104)</f>
        <v>21.34615385</v>
      </c>
      <c r="C84" s="267">
        <f t="shared" si="1"/>
        <v>0.2</v>
      </c>
      <c r="D84" s="262">
        <f>B2</f>
        <v>70.4</v>
      </c>
      <c r="E84" s="252">
        <f t="shared" si="2"/>
        <v>8.135111111</v>
      </c>
      <c r="F84" s="267">
        <f>I_Cout_ss+C84</f>
        <v>0.52</v>
      </c>
      <c r="G84" s="267">
        <f t="shared" si="3"/>
        <v>0.52</v>
      </c>
      <c r="H84" s="267">
        <f t="shared" si="4"/>
        <v>0.32</v>
      </c>
      <c r="I84" s="266">
        <f>(COUTMAX/1000000)*(B84-B83)/H84</f>
        <v>0.002704326923</v>
      </c>
      <c r="J84" s="266">
        <f t="shared" si="9"/>
        <v>0.2001201923</v>
      </c>
      <c r="K84" s="291">
        <f t="shared" si="5"/>
        <v>200.1201923</v>
      </c>
      <c r="L84" s="268">
        <f t="shared" si="6"/>
        <v>0.6153846154</v>
      </c>
      <c r="M84" s="11">
        <f>1/COUTMAX*(E84/2-C84)*1000</f>
        <v>1.289185185</v>
      </c>
      <c r="N84" s="289">
        <f t="shared" si="7"/>
        <v>0.01216947115</v>
      </c>
      <c r="O84" s="11">
        <f t="shared" si="8"/>
        <v>4.5</v>
      </c>
      <c r="P84" s="11">
        <f>(A84-B84)*(I_Cout_ss*$Q$2+C84)</f>
        <v>5.538461538</v>
      </c>
      <c r="Q84" s="11">
        <f>(A84-B84)*(I_Cout_ss*$R$2+C84)</f>
        <v>3.461538462</v>
      </c>
      <c r="R84" s="11"/>
      <c r="S84" s="11"/>
      <c r="T84" s="11"/>
      <c r="U84" s="11"/>
      <c r="V84" s="11"/>
      <c r="W84" s="11"/>
      <c r="X84" s="11"/>
      <c r="Y84" s="11"/>
      <c r="Z84" s="11"/>
      <c r="AA84" s="11"/>
      <c r="AB84" s="11"/>
      <c r="AC84" s="11"/>
    </row>
    <row r="85" ht="12.0" customHeight="1">
      <c r="A85" s="11">
        <f>VINMAX</f>
        <v>30</v>
      </c>
      <c r="B85" s="292">
        <f>VINMAX*((ROW()-10)/104)</f>
        <v>21.63461538</v>
      </c>
      <c r="C85" s="267">
        <f t="shared" si="1"/>
        <v>0.2</v>
      </c>
      <c r="D85" s="262">
        <f>B2</f>
        <v>70.4</v>
      </c>
      <c r="E85" s="252">
        <f t="shared" si="2"/>
        <v>8.415632184</v>
      </c>
      <c r="F85" s="267">
        <f>I_Cout_ss+C85</f>
        <v>0.52</v>
      </c>
      <c r="G85" s="267">
        <f t="shared" si="3"/>
        <v>0.52</v>
      </c>
      <c r="H85" s="267">
        <f t="shared" si="4"/>
        <v>0.32</v>
      </c>
      <c r="I85" s="266">
        <f>(COUTMAX/1000000)*(B85-B84)/H85</f>
        <v>0.002704326923</v>
      </c>
      <c r="J85" s="266">
        <f t="shared" si="9"/>
        <v>0.2028245192</v>
      </c>
      <c r="K85" s="291">
        <f t="shared" si="5"/>
        <v>202.8245192</v>
      </c>
      <c r="L85" s="268">
        <f t="shared" si="6"/>
        <v>0.6153846154</v>
      </c>
      <c r="M85" s="11">
        <f>1/COUTMAX*(E85/2-C85)*1000</f>
        <v>1.335938697</v>
      </c>
      <c r="N85" s="289">
        <f t="shared" si="7"/>
        <v>0.01176382212</v>
      </c>
      <c r="O85" s="11">
        <f t="shared" si="8"/>
        <v>4.35</v>
      </c>
      <c r="P85" s="11">
        <f>(A85-B85)*(I_Cout_ss*$Q$2+C85)</f>
        <v>5.353846154</v>
      </c>
      <c r="Q85" s="11">
        <f>(A85-B85)*(I_Cout_ss*$R$2+C85)</f>
        <v>3.346153846</v>
      </c>
      <c r="R85" s="11"/>
      <c r="S85" s="11"/>
      <c r="T85" s="11"/>
      <c r="U85" s="11"/>
      <c r="V85" s="11"/>
      <c r="W85" s="11"/>
      <c r="X85" s="11"/>
      <c r="Y85" s="11"/>
      <c r="Z85" s="11"/>
      <c r="AA85" s="11"/>
      <c r="AB85" s="11"/>
      <c r="AC85" s="11"/>
    </row>
    <row r="86" ht="12.0" customHeight="1">
      <c r="A86" s="11">
        <f>VINMAX</f>
        <v>30</v>
      </c>
      <c r="B86" s="292">
        <f>VINMAX*((ROW()-10)/104)</f>
        <v>21.92307692</v>
      </c>
      <c r="C86" s="267">
        <f t="shared" si="1"/>
        <v>0.2</v>
      </c>
      <c r="D86" s="262">
        <f>B2</f>
        <v>70.4</v>
      </c>
      <c r="E86" s="252">
        <f t="shared" si="2"/>
        <v>8.716190476</v>
      </c>
      <c r="F86" s="267">
        <f>I_Cout_ss+C86</f>
        <v>0.52</v>
      </c>
      <c r="G86" s="267">
        <f t="shared" si="3"/>
        <v>0.52</v>
      </c>
      <c r="H86" s="267">
        <f t="shared" si="4"/>
        <v>0.32</v>
      </c>
      <c r="I86" s="266">
        <f>(COUTMAX/1000000)*(B86-B85)/H86</f>
        <v>0.002704326923</v>
      </c>
      <c r="J86" s="266">
        <f t="shared" si="9"/>
        <v>0.2055288462</v>
      </c>
      <c r="K86" s="291">
        <f t="shared" si="5"/>
        <v>205.5288462</v>
      </c>
      <c r="L86" s="268">
        <f t="shared" si="6"/>
        <v>0.6153846154</v>
      </c>
      <c r="M86" s="11">
        <f>1/COUTMAX*(E86/2-C86)*1000</f>
        <v>1.386031746</v>
      </c>
      <c r="N86" s="289">
        <f t="shared" si="7"/>
        <v>0.01135817308</v>
      </c>
      <c r="O86" s="11">
        <f t="shared" si="8"/>
        <v>4.2</v>
      </c>
      <c r="P86" s="11">
        <f>(A86-B86)*(I_Cout_ss*$Q$2+C86)</f>
        <v>5.169230769</v>
      </c>
      <c r="Q86" s="11">
        <f>(A86-B86)*(I_Cout_ss*$R$2+C86)</f>
        <v>3.230769231</v>
      </c>
      <c r="R86" s="11"/>
      <c r="S86" s="11"/>
      <c r="T86" s="11"/>
      <c r="U86" s="11"/>
      <c r="V86" s="11"/>
      <c r="W86" s="11"/>
      <c r="X86" s="11"/>
      <c r="Y86" s="11"/>
      <c r="Z86" s="11"/>
      <c r="AA86" s="11"/>
      <c r="AB86" s="11"/>
      <c r="AC86" s="11"/>
    </row>
    <row r="87" ht="12.0" customHeight="1">
      <c r="A87" s="11">
        <f>VINMAX</f>
        <v>30</v>
      </c>
      <c r="B87" s="292">
        <f>VINMAX*((ROW()-10)/104)</f>
        <v>22.21153846</v>
      </c>
      <c r="C87" s="267">
        <f t="shared" si="1"/>
        <v>0.2</v>
      </c>
      <c r="D87" s="262">
        <f>B2</f>
        <v>70.4</v>
      </c>
      <c r="E87" s="252">
        <f t="shared" si="2"/>
        <v>9.039012346</v>
      </c>
      <c r="F87" s="267">
        <f>I_Cout_ss+C87</f>
        <v>0.52</v>
      </c>
      <c r="G87" s="267">
        <f t="shared" si="3"/>
        <v>0.52</v>
      </c>
      <c r="H87" s="267">
        <f t="shared" si="4"/>
        <v>0.32</v>
      </c>
      <c r="I87" s="266">
        <f>(COUTMAX/1000000)*(B87-B86)/H87</f>
        <v>0.002704326923</v>
      </c>
      <c r="J87" s="266">
        <f t="shared" si="9"/>
        <v>0.2082331731</v>
      </c>
      <c r="K87" s="291">
        <f t="shared" si="5"/>
        <v>208.2331731</v>
      </c>
      <c r="L87" s="268">
        <f t="shared" si="6"/>
        <v>0.6153846154</v>
      </c>
      <c r="M87" s="11">
        <f>1/COUTMAX*(E87/2-C87)*1000</f>
        <v>1.439835391</v>
      </c>
      <c r="N87" s="289">
        <f t="shared" si="7"/>
        <v>0.01095252404</v>
      </c>
      <c r="O87" s="11">
        <f t="shared" si="8"/>
        <v>4.05</v>
      </c>
      <c r="P87" s="11">
        <f>(A87-B87)*(I_Cout_ss*$Q$2+C87)</f>
        <v>4.984615385</v>
      </c>
      <c r="Q87" s="11">
        <f>(A87-B87)*(I_Cout_ss*$R$2+C87)</f>
        <v>3.115384615</v>
      </c>
      <c r="R87" s="11"/>
      <c r="S87" s="11"/>
      <c r="T87" s="11"/>
      <c r="U87" s="11"/>
      <c r="V87" s="11"/>
      <c r="W87" s="11"/>
      <c r="X87" s="11"/>
      <c r="Y87" s="11"/>
      <c r="Z87" s="11"/>
      <c r="AA87" s="11"/>
      <c r="AB87" s="11"/>
      <c r="AC87" s="11"/>
    </row>
    <row r="88" ht="12.0" customHeight="1">
      <c r="A88" s="11">
        <f>VINMAX</f>
        <v>30</v>
      </c>
      <c r="B88" s="292">
        <f>VINMAX*((ROW()-10)/104)</f>
        <v>22.5</v>
      </c>
      <c r="C88" s="267">
        <f t="shared" si="1"/>
        <v>0.2</v>
      </c>
      <c r="D88" s="262">
        <f>B2</f>
        <v>70.4</v>
      </c>
      <c r="E88" s="252">
        <f t="shared" si="2"/>
        <v>9.386666667</v>
      </c>
      <c r="F88" s="267">
        <f>I_Cout_ss+C88</f>
        <v>0.52</v>
      </c>
      <c r="G88" s="267">
        <f t="shared" si="3"/>
        <v>0.52</v>
      </c>
      <c r="H88" s="267">
        <f t="shared" si="4"/>
        <v>0.32</v>
      </c>
      <c r="I88" s="266">
        <f>(COUTMAX/1000000)*(B88-B87)/H88</f>
        <v>0.002704326923</v>
      </c>
      <c r="J88" s="266">
        <f t="shared" si="9"/>
        <v>0.2109375</v>
      </c>
      <c r="K88" s="291">
        <f t="shared" si="5"/>
        <v>210.9375</v>
      </c>
      <c r="L88" s="268">
        <f t="shared" si="6"/>
        <v>0.6153846154</v>
      </c>
      <c r="M88" s="11">
        <f>1/COUTMAX*(E88/2-C88)*1000</f>
        <v>1.497777778</v>
      </c>
      <c r="N88" s="289">
        <f t="shared" si="7"/>
        <v>0.010546875</v>
      </c>
      <c r="O88" s="11">
        <f t="shared" si="8"/>
        <v>3.9</v>
      </c>
      <c r="P88" s="11">
        <f>(A88-B88)*(I_Cout_ss*$Q$2+C88)</f>
        <v>4.8</v>
      </c>
      <c r="Q88" s="11">
        <f>(A88-B88)*(I_Cout_ss*$R$2+C88)</f>
        <v>3</v>
      </c>
      <c r="R88" s="11"/>
      <c r="S88" s="11"/>
      <c r="T88" s="11"/>
      <c r="U88" s="11"/>
      <c r="V88" s="11"/>
      <c r="W88" s="11"/>
      <c r="X88" s="11"/>
      <c r="Y88" s="11"/>
      <c r="Z88" s="11"/>
      <c r="AA88" s="11"/>
      <c r="AB88" s="11"/>
      <c r="AC88" s="11"/>
    </row>
    <row r="89" ht="12.0" customHeight="1">
      <c r="A89" s="11">
        <f>VINMAX</f>
        <v>30</v>
      </c>
      <c r="B89" s="292">
        <f>VINMAX*((ROW()-10)/104)</f>
        <v>22.78846154</v>
      </c>
      <c r="C89" s="267">
        <f t="shared" si="1"/>
        <v>0.2</v>
      </c>
      <c r="D89" s="262">
        <f>B2</f>
        <v>70.4</v>
      </c>
      <c r="E89" s="252">
        <f t="shared" si="2"/>
        <v>9.762133333</v>
      </c>
      <c r="F89" s="267">
        <f>I_Cout_ss+C89</f>
        <v>0.52</v>
      </c>
      <c r="G89" s="267">
        <f t="shared" si="3"/>
        <v>0.52</v>
      </c>
      <c r="H89" s="267">
        <f t="shared" si="4"/>
        <v>0.32</v>
      </c>
      <c r="I89" s="266">
        <f>(COUTMAX/1000000)*(B89-B88)/H89</f>
        <v>0.002704326923</v>
      </c>
      <c r="J89" s="266">
        <f t="shared" si="9"/>
        <v>0.2136418269</v>
      </c>
      <c r="K89" s="291">
        <f t="shared" si="5"/>
        <v>213.6418269</v>
      </c>
      <c r="L89" s="268">
        <f t="shared" si="6"/>
        <v>0.6153846154</v>
      </c>
      <c r="M89" s="11">
        <f>1/COUTMAX*(E89/2-C89)*1000</f>
        <v>1.560355556</v>
      </c>
      <c r="N89" s="289">
        <f t="shared" si="7"/>
        <v>0.01014122596</v>
      </c>
      <c r="O89" s="11">
        <f t="shared" si="8"/>
        <v>3.75</v>
      </c>
      <c r="P89" s="11">
        <f>(A89-B89)*(I_Cout_ss*$Q$2+C89)</f>
        <v>4.615384615</v>
      </c>
      <c r="Q89" s="11">
        <f>(A89-B89)*(I_Cout_ss*$R$2+C89)</f>
        <v>2.884615385</v>
      </c>
      <c r="R89" s="11"/>
      <c r="S89" s="11"/>
      <c r="T89" s="11"/>
      <c r="U89" s="11"/>
      <c r="V89" s="11"/>
      <c r="W89" s="11"/>
      <c r="X89" s="11"/>
      <c r="Y89" s="11"/>
      <c r="Z89" s="11"/>
      <c r="AA89" s="11"/>
      <c r="AB89" s="11"/>
      <c r="AC89" s="11"/>
    </row>
    <row r="90" ht="12.0" customHeight="1">
      <c r="A90" s="11">
        <f>VINMAX</f>
        <v>30</v>
      </c>
      <c r="B90" s="292">
        <f>VINMAX*((ROW()-10)/104)</f>
        <v>23.07692308</v>
      </c>
      <c r="C90" s="267">
        <f t="shared" si="1"/>
        <v>0.2</v>
      </c>
      <c r="D90" s="262">
        <f>B2</f>
        <v>70.4</v>
      </c>
      <c r="E90" s="252">
        <f t="shared" si="2"/>
        <v>10.16888889</v>
      </c>
      <c r="F90" s="267">
        <f>I_Cout_ss+C90</f>
        <v>0.52</v>
      </c>
      <c r="G90" s="267">
        <f t="shared" si="3"/>
        <v>0.52</v>
      </c>
      <c r="H90" s="267">
        <f t="shared" si="4"/>
        <v>0.32</v>
      </c>
      <c r="I90" s="266">
        <f>(COUTMAX/1000000)*(B90-B89)/H90</f>
        <v>0.002704326923</v>
      </c>
      <c r="J90" s="266">
        <f t="shared" si="9"/>
        <v>0.2163461538</v>
      </c>
      <c r="K90" s="291">
        <f t="shared" si="5"/>
        <v>216.3461538</v>
      </c>
      <c r="L90" s="268">
        <f t="shared" si="6"/>
        <v>0.6153846154</v>
      </c>
      <c r="M90" s="11">
        <f>1/COUTMAX*(E90/2-C90)*1000</f>
        <v>1.628148148</v>
      </c>
      <c r="N90" s="289">
        <f t="shared" si="7"/>
        <v>0.009735576923</v>
      </c>
      <c r="O90" s="11">
        <f t="shared" si="8"/>
        <v>3.6</v>
      </c>
      <c r="P90" s="11">
        <f>(A90-B90)*(I_Cout_ss*$Q$2+C90)</f>
        <v>4.430769231</v>
      </c>
      <c r="Q90" s="11">
        <f>(A90-B90)*(I_Cout_ss*$R$2+C90)</f>
        <v>2.769230769</v>
      </c>
      <c r="R90" s="11"/>
      <c r="S90" s="11"/>
      <c r="T90" s="11"/>
      <c r="U90" s="11"/>
      <c r="V90" s="11"/>
      <c r="W90" s="11"/>
      <c r="X90" s="11"/>
      <c r="Y90" s="11"/>
      <c r="Z90" s="11"/>
      <c r="AA90" s="11"/>
      <c r="AB90" s="11"/>
      <c r="AC90" s="11"/>
    </row>
    <row r="91" ht="12.0" customHeight="1">
      <c r="A91" s="11">
        <f>VINMAX</f>
        <v>30</v>
      </c>
      <c r="B91" s="292">
        <f>VINMAX*((ROW()-10)/104)</f>
        <v>23.36538462</v>
      </c>
      <c r="C91" s="267">
        <f t="shared" si="1"/>
        <v>0.2</v>
      </c>
      <c r="D91" s="262">
        <f>B2</f>
        <v>70.4</v>
      </c>
      <c r="E91" s="252">
        <f t="shared" si="2"/>
        <v>10.61101449</v>
      </c>
      <c r="F91" s="267">
        <f>I_Cout_ss+C91</f>
        <v>0.52</v>
      </c>
      <c r="G91" s="267">
        <f t="shared" si="3"/>
        <v>0.52</v>
      </c>
      <c r="H91" s="267">
        <f t="shared" si="4"/>
        <v>0.32</v>
      </c>
      <c r="I91" s="266">
        <f>(COUTMAX/1000000)*(B91-B90)/H91</f>
        <v>0.002704326923</v>
      </c>
      <c r="J91" s="266">
        <f t="shared" si="9"/>
        <v>0.2190504808</v>
      </c>
      <c r="K91" s="291">
        <f t="shared" si="5"/>
        <v>219.0504808</v>
      </c>
      <c r="L91" s="268">
        <f t="shared" si="6"/>
        <v>0.6153846154</v>
      </c>
      <c r="M91" s="11">
        <f>1/COUTMAX*(E91/2-C91)*1000</f>
        <v>1.701835749</v>
      </c>
      <c r="N91" s="289">
        <f t="shared" si="7"/>
        <v>0.009329927885</v>
      </c>
      <c r="O91" s="11">
        <f t="shared" si="8"/>
        <v>3.45</v>
      </c>
      <c r="P91" s="11">
        <f>(A91-B91)*(I_Cout_ss*$Q$2+C91)</f>
        <v>4.246153846</v>
      </c>
      <c r="Q91" s="11">
        <f>(A91-B91)*(I_Cout_ss*$R$2+C91)</f>
        <v>2.653846154</v>
      </c>
      <c r="R91" s="11"/>
      <c r="S91" s="11"/>
      <c r="T91" s="11"/>
      <c r="U91" s="11"/>
      <c r="V91" s="11"/>
      <c r="W91" s="11"/>
      <c r="X91" s="11"/>
      <c r="Y91" s="11"/>
      <c r="Z91" s="11"/>
      <c r="AA91" s="11"/>
      <c r="AB91" s="11"/>
      <c r="AC91" s="11"/>
    </row>
    <row r="92" ht="12.0" customHeight="1">
      <c r="A92" s="11">
        <f>VINMAX</f>
        <v>30</v>
      </c>
      <c r="B92" s="292">
        <f>VINMAX*((ROW()-10)/104)</f>
        <v>23.65384615</v>
      </c>
      <c r="C92" s="267">
        <f t="shared" si="1"/>
        <v>0.2</v>
      </c>
      <c r="D92" s="262">
        <f>B2</f>
        <v>70.4</v>
      </c>
      <c r="E92" s="252">
        <f t="shared" si="2"/>
        <v>11.09333333</v>
      </c>
      <c r="F92" s="267">
        <f>I_Cout_ss+C92</f>
        <v>0.52</v>
      </c>
      <c r="G92" s="267">
        <f t="shared" si="3"/>
        <v>0.52</v>
      </c>
      <c r="H92" s="267">
        <f t="shared" si="4"/>
        <v>0.32</v>
      </c>
      <c r="I92" s="266">
        <f>(COUTMAX/1000000)*(B92-B91)/H92</f>
        <v>0.002704326923</v>
      </c>
      <c r="J92" s="266">
        <f t="shared" si="9"/>
        <v>0.2217548077</v>
      </c>
      <c r="K92" s="291">
        <f t="shared" si="5"/>
        <v>221.7548077</v>
      </c>
      <c r="L92" s="268">
        <f t="shared" si="6"/>
        <v>0.6153846154</v>
      </c>
      <c r="M92" s="11">
        <f>1/COUTMAX*(E92/2-C92)*1000</f>
        <v>1.782222222</v>
      </c>
      <c r="N92" s="289">
        <f t="shared" si="7"/>
        <v>0.008924278846</v>
      </c>
      <c r="O92" s="11">
        <f t="shared" si="8"/>
        <v>3.3</v>
      </c>
      <c r="P92" s="11">
        <f>(A92-B92)*(I_Cout_ss*$Q$2+C92)</f>
        <v>4.061538462</v>
      </c>
      <c r="Q92" s="11">
        <f>(A92-B92)*(I_Cout_ss*$R$2+C92)</f>
        <v>2.538461538</v>
      </c>
      <c r="R92" s="11"/>
      <c r="S92" s="11"/>
      <c r="T92" s="11"/>
      <c r="U92" s="11"/>
      <c r="V92" s="11"/>
      <c r="W92" s="11"/>
      <c r="X92" s="11"/>
      <c r="Y92" s="11"/>
      <c r="Z92" s="11"/>
      <c r="AA92" s="11"/>
      <c r="AB92" s="11"/>
      <c r="AC92" s="11"/>
    </row>
    <row r="93" ht="12.0" customHeight="1">
      <c r="A93" s="11">
        <f>VINMAX</f>
        <v>30</v>
      </c>
      <c r="B93" s="292">
        <f>VINMAX*((ROW()-10)/104)</f>
        <v>23.94230769</v>
      </c>
      <c r="C93" s="267">
        <f t="shared" si="1"/>
        <v>0.2</v>
      </c>
      <c r="D93" s="262">
        <f>B2</f>
        <v>70.4</v>
      </c>
      <c r="E93" s="252">
        <f t="shared" si="2"/>
        <v>11.6215873</v>
      </c>
      <c r="F93" s="267">
        <f>I_Cout_ss+C93</f>
        <v>0.52</v>
      </c>
      <c r="G93" s="267">
        <f t="shared" si="3"/>
        <v>0.52</v>
      </c>
      <c r="H93" s="267">
        <f t="shared" si="4"/>
        <v>0.32</v>
      </c>
      <c r="I93" s="266">
        <f>(COUTMAX/1000000)*(B93-B92)/H93</f>
        <v>0.002704326923</v>
      </c>
      <c r="J93" s="266">
        <f t="shared" si="9"/>
        <v>0.2244591346</v>
      </c>
      <c r="K93" s="291">
        <f t="shared" si="5"/>
        <v>224.4591346</v>
      </c>
      <c r="L93" s="268">
        <f t="shared" si="6"/>
        <v>0.6153846154</v>
      </c>
      <c r="M93" s="11">
        <f>1/COUTMAX*(E93/2-C93)*1000</f>
        <v>1.87026455</v>
      </c>
      <c r="N93" s="289">
        <f t="shared" si="7"/>
        <v>0.008518629808</v>
      </c>
      <c r="O93" s="11">
        <f t="shared" si="8"/>
        <v>3.15</v>
      </c>
      <c r="P93" s="11">
        <f>(A93-B93)*(I_Cout_ss*$Q$2+C93)</f>
        <v>3.876923077</v>
      </c>
      <c r="Q93" s="11">
        <f>(A93-B93)*(I_Cout_ss*$R$2+C93)</f>
        <v>2.423076923</v>
      </c>
      <c r="R93" s="11"/>
      <c r="S93" s="11"/>
      <c r="T93" s="11"/>
      <c r="U93" s="11"/>
      <c r="V93" s="11"/>
      <c r="W93" s="11"/>
      <c r="X93" s="11"/>
      <c r="Y93" s="11"/>
      <c r="Z93" s="11"/>
      <c r="AA93" s="11"/>
      <c r="AB93" s="11"/>
      <c r="AC93" s="11"/>
    </row>
    <row r="94" ht="12.0" customHeight="1">
      <c r="A94" s="11">
        <f>VINMAX</f>
        <v>30</v>
      </c>
      <c r="B94" s="292">
        <f>VINMAX*((ROW()-10)/104)</f>
        <v>24.23076923</v>
      </c>
      <c r="C94" s="267">
        <f t="shared" si="1"/>
        <v>0.2</v>
      </c>
      <c r="D94" s="262">
        <f>B2</f>
        <v>70.4</v>
      </c>
      <c r="E94" s="252">
        <f t="shared" si="2"/>
        <v>12.20266667</v>
      </c>
      <c r="F94" s="267">
        <f>I_Cout_ss+C94</f>
        <v>0.52</v>
      </c>
      <c r="G94" s="267">
        <f t="shared" si="3"/>
        <v>0.52</v>
      </c>
      <c r="H94" s="267">
        <f t="shared" si="4"/>
        <v>0.32</v>
      </c>
      <c r="I94" s="266">
        <f>(COUTMAX/1000000)*(B94-B93)/H94</f>
        <v>0.002704326923</v>
      </c>
      <c r="J94" s="266">
        <f t="shared" si="9"/>
        <v>0.2271634615</v>
      </c>
      <c r="K94" s="291">
        <f t="shared" si="5"/>
        <v>227.1634615</v>
      </c>
      <c r="L94" s="268">
        <f t="shared" si="6"/>
        <v>0.6153846154</v>
      </c>
      <c r="M94" s="11">
        <f>1/COUTMAX*(E94/2-C94)*1000</f>
        <v>1.967111111</v>
      </c>
      <c r="N94" s="289">
        <f t="shared" si="7"/>
        <v>0.008112980769</v>
      </c>
      <c r="O94" s="11">
        <f t="shared" si="8"/>
        <v>3</v>
      </c>
      <c r="P94" s="11">
        <f>(A94-B94)*(I_Cout_ss*$Q$2+C94)</f>
        <v>3.692307692</v>
      </c>
      <c r="Q94" s="11">
        <f>(A94-B94)*(I_Cout_ss*$R$2+C94)</f>
        <v>2.307692308</v>
      </c>
      <c r="R94" s="11"/>
      <c r="S94" s="11"/>
      <c r="T94" s="11"/>
      <c r="U94" s="11"/>
      <c r="V94" s="11"/>
      <c r="W94" s="11"/>
      <c r="X94" s="11"/>
      <c r="Y94" s="11"/>
      <c r="Z94" s="11"/>
      <c r="AA94" s="11"/>
      <c r="AB94" s="11"/>
      <c r="AC94" s="11"/>
    </row>
    <row r="95" ht="12.0" customHeight="1">
      <c r="A95" s="11">
        <f>VINMAX</f>
        <v>30</v>
      </c>
      <c r="B95" s="292">
        <f>VINMAX*((ROW()-10)/104)</f>
        <v>24.51923077</v>
      </c>
      <c r="C95" s="267">
        <f t="shared" si="1"/>
        <v>0.2</v>
      </c>
      <c r="D95" s="262">
        <f>B2</f>
        <v>70.4</v>
      </c>
      <c r="E95" s="252">
        <f t="shared" si="2"/>
        <v>12.84491228</v>
      </c>
      <c r="F95" s="267">
        <f>I_Cout_ss+C95</f>
        <v>0.52</v>
      </c>
      <c r="G95" s="267">
        <f t="shared" si="3"/>
        <v>0.52</v>
      </c>
      <c r="H95" s="267">
        <f t="shared" si="4"/>
        <v>0.32</v>
      </c>
      <c r="I95" s="266">
        <f>(COUTMAX/1000000)*(B95-B94)/H95</f>
        <v>0.002704326923</v>
      </c>
      <c r="J95" s="266">
        <f t="shared" si="9"/>
        <v>0.2298677885</v>
      </c>
      <c r="K95" s="291">
        <f t="shared" si="5"/>
        <v>229.8677885</v>
      </c>
      <c r="L95" s="268">
        <f t="shared" si="6"/>
        <v>0.6153846154</v>
      </c>
      <c r="M95" s="11">
        <f>1/COUTMAX*(E95/2-C95)*1000</f>
        <v>2.074152047</v>
      </c>
      <c r="N95" s="289">
        <f t="shared" si="7"/>
        <v>0.007707331731</v>
      </c>
      <c r="O95" s="11">
        <f t="shared" si="8"/>
        <v>2.85</v>
      </c>
      <c r="P95" s="11">
        <f>(A95-B95)*(I_Cout_ss*$Q$2+C95)</f>
        <v>3.507692308</v>
      </c>
      <c r="Q95" s="11">
        <f>(A95-B95)*(I_Cout_ss*$R$2+C95)</f>
        <v>2.192307692</v>
      </c>
      <c r="R95" s="11"/>
      <c r="S95" s="11"/>
      <c r="T95" s="11"/>
      <c r="U95" s="11"/>
      <c r="V95" s="11"/>
      <c r="W95" s="11"/>
      <c r="X95" s="11"/>
      <c r="Y95" s="11"/>
      <c r="Z95" s="11"/>
      <c r="AA95" s="11"/>
      <c r="AB95" s="11"/>
      <c r="AC95" s="11"/>
    </row>
    <row r="96" ht="12.0" customHeight="1">
      <c r="A96" s="11">
        <f>VINMAX</f>
        <v>30</v>
      </c>
      <c r="B96" s="292">
        <f>VINMAX*((ROW()-10)/104)</f>
        <v>24.80769231</v>
      </c>
      <c r="C96" s="267">
        <f t="shared" si="1"/>
        <v>0.2</v>
      </c>
      <c r="D96" s="262">
        <f>B2</f>
        <v>70.4</v>
      </c>
      <c r="E96" s="252">
        <f t="shared" si="2"/>
        <v>13.55851852</v>
      </c>
      <c r="F96" s="267">
        <f>I_Cout_ss+C96</f>
        <v>0.52</v>
      </c>
      <c r="G96" s="267">
        <f t="shared" si="3"/>
        <v>0.52</v>
      </c>
      <c r="H96" s="267">
        <f t="shared" si="4"/>
        <v>0.32</v>
      </c>
      <c r="I96" s="266">
        <f>(COUTMAX/1000000)*(B96-B95)/H96</f>
        <v>0.002704326923</v>
      </c>
      <c r="J96" s="266">
        <f t="shared" si="9"/>
        <v>0.2325721154</v>
      </c>
      <c r="K96" s="291">
        <f t="shared" si="5"/>
        <v>232.5721154</v>
      </c>
      <c r="L96" s="268">
        <f t="shared" si="6"/>
        <v>0.6153846154</v>
      </c>
      <c r="M96" s="11">
        <f>1/COUTMAX*(E96/2-C96)*1000</f>
        <v>2.19308642</v>
      </c>
      <c r="N96" s="289">
        <f t="shared" si="7"/>
        <v>0.007301682692</v>
      </c>
      <c r="O96" s="11">
        <f t="shared" si="8"/>
        <v>2.7</v>
      </c>
      <c r="P96" s="11">
        <f>(A96-B96)*(I_Cout_ss*$Q$2+C96)</f>
        <v>3.323076923</v>
      </c>
      <c r="Q96" s="11">
        <f>(A96-B96)*(I_Cout_ss*$R$2+C96)</f>
        <v>2.076923077</v>
      </c>
      <c r="R96" s="11"/>
      <c r="S96" s="11"/>
      <c r="T96" s="11"/>
      <c r="U96" s="11"/>
      <c r="V96" s="11"/>
      <c r="W96" s="11"/>
      <c r="X96" s="11"/>
      <c r="Y96" s="11"/>
      <c r="Z96" s="11"/>
      <c r="AA96" s="11"/>
      <c r="AB96" s="11"/>
      <c r="AC96" s="11"/>
    </row>
    <row r="97" ht="12.0" customHeight="1">
      <c r="A97" s="11">
        <f>VINMAX</f>
        <v>30</v>
      </c>
      <c r="B97" s="292">
        <f>VINMAX*((ROW()-10)/104)</f>
        <v>25.09615385</v>
      </c>
      <c r="C97" s="267">
        <f t="shared" si="1"/>
        <v>0.2</v>
      </c>
      <c r="D97" s="262">
        <f>B2</f>
        <v>70.4</v>
      </c>
      <c r="E97" s="252">
        <f t="shared" si="2"/>
        <v>14.35607843</v>
      </c>
      <c r="F97" s="267">
        <f>I_Cout_ss+C97</f>
        <v>0.52</v>
      </c>
      <c r="G97" s="267">
        <f t="shared" si="3"/>
        <v>0.52</v>
      </c>
      <c r="H97" s="267">
        <f t="shared" si="4"/>
        <v>0.32</v>
      </c>
      <c r="I97" s="266">
        <f>(COUTMAX/1000000)*(B97-B96)/H97</f>
        <v>0.002704326923</v>
      </c>
      <c r="J97" s="266">
        <f t="shared" si="9"/>
        <v>0.2352764423</v>
      </c>
      <c r="K97" s="291">
        <f t="shared" si="5"/>
        <v>235.2764423</v>
      </c>
      <c r="L97" s="268">
        <f t="shared" si="6"/>
        <v>0.6153846154</v>
      </c>
      <c r="M97" s="11">
        <f>1/COUTMAX*(E97/2-C97)*1000</f>
        <v>2.326013072</v>
      </c>
      <c r="N97" s="289">
        <f t="shared" si="7"/>
        <v>0.006896033654</v>
      </c>
      <c r="O97" s="11">
        <f t="shared" si="8"/>
        <v>2.55</v>
      </c>
      <c r="P97" s="11">
        <f>(A97-B97)*(I_Cout_ss*$Q$2+C97)</f>
        <v>3.138461538</v>
      </c>
      <c r="Q97" s="11">
        <f>(A97-B97)*(I_Cout_ss*$R$2+C97)</f>
        <v>1.961538462</v>
      </c>
      <c r="R97" s="11"/>
      <c r="S97" s="11"/>
      <c r="T97" s="11"/>
      <c r="U97" s="11"/>
      <c r="V97" s="11"/>
      <c r="W97" s="11"/>
      <c r="X97" s="11"/>
      <c r="Y97" s="11"/>
      <c r="Z97" s="11"/>
      <c r="AA97" s="11"/>
      <c r="AB97" s="11"/>
      <c r="AC97" s="11"/>
    </row>
    <row r="98" ht="12.0" customHeight="1">
      <c r="A98" s="11">
        <f>VINMAX</f>
        <v>30</v>
      </c>
      <c r="B98" s="292">
        <f>VINMAX*((ROW()-10)/104)</f>
        <v>25.38461538</v>
      </c>
      <c r="C98" s="267">
        <f t="shared" si="1"/>
        <v>0.2</v>
      </c>
      <c r="D98" s="262">
        <f>B2</f>
        <v>70.4</v>
      </c>
      <c r="E98" s="252">
        <f t="shared" si="2"/>
        <v>15.25333333</v>
      </c>
      <c r="F98" s="267">
        <f>I_Cout_ss+C98</f>
        <v>0.52</v>
      </c>
      <c r="G98" s="267">
        <f t="shared" si="3"/>
        <v>0.52</v>
      </c>
      <c r="H98" s="267">
        <f t="shared" si="4"/>
        <v>0.32</v>
      </c>
      <c r="I98" s="266">
        <f>(COUTMAX/1000000)*(B98-B97)/H98</f>
        <v>0.002704326923</v>
      </c>
      <c r="J98" s="266">
        <f t="shared" si="9"/>
        <v>0.2379807692</v>
      </c>
      <c r="K98" s="291">
        <f t="shared" si="5"/>
        <v>237.9807692</v>
      </c>
      <c r="L98" s="268">
        <f t="shared" si="6"/>
        <v>0.6153846154</v>
      </c>
      <c r="M98" s="11">
        <f>1/COUTMAX*(E98/2-C98)*1000</f>
        <v>2.475555556</v>
      </c>
      <c r="N98" s="289">
        <f t="shared" si="7"/>
        <v>0.006490384615</v>
      </c>
      <c r="O98" s="11">
        <f t="shared" si="8"/>
        <v>2.4</v>
      </c>
      <c r="P98" s="11">
        <f>(A98-B98)*(I_Cout_ss*$Q$2+C98)</f>
        <v>2.953846154</v>
      </c>
      <c r="Q98" s="11">
        <f>(A98-B98)*(I_Cout_ss*$R$2+C98)</f>
        <v>1.846153846</v>
      </c>
      <c r="R98" s="11"/>
      <c r="S98" s="11"/>
      <c r="T98" s="11"/>
      <c r="U98" s="11"/>
      <c r="V98" s="11"/>
      <c r="W98" s="11"/>
      <c r="X98" s="11"/>
      <c r="Y98" s="11"/>
      <c r="Z98" s="11"/>
      <c r="AA98" s="11"/>
      <c r="AB98" s="11"/>
      <c r="AC98" s="11"/>
    </row>
    <row r="99" ht="12.0" customHeight="1">
      <c r="A99" s="11">
        <f>VINMAX</f>
        <v>30</v>
      </c>
      <c r="B99" s="292">
        <f>VINMAX*((ROW()-10)/104)</f>
        <v>25.67307692</v>
      </c>
      <c r="C99" s="267">
        <f t="shared" si="1"/>
        <v>0.2</v>
      </c>
      <c r="D99" s="262">
        <f>B2</f>
        <v>70.4</v>
      </c>
      <c r="E99" s="252">
        <f t="shared" si="2"/>
        <v>16.27022222</v>
      </c>
      <c r="F99" s="267">
        <f>I_Cout_ss+C99</f>
        <v>0.52</v>
      </c>
      <c r="G99" s="267">
        <f t="shared" si="3"/>
        <v>0.52</v>
      </c>
      <c r="H99" s="267">
        <f t="shared" si="4"/>
        <v>0.32</v>
      </c>
      <c r="I99" s="266">
        <f>(COUTMAX/1000000)*(B99-B98)/H99</f>
        <v>0.002704326923</v>
      </c>
      <c r="J99" s="266">
        <f t="shared" si="9"/>
        <v>0.2406850962</v>
      </c>
      <c r="K99" s="291">
        <f t="shared" si="5"/>
        <v>240.6850962</v>
      </c>
      <c r="L99" s="268">
        <f t="shared" si="6"/>
        <v>0.6153846154</v>
      </c>
      <c r="M99" s="11">
        <f>1/COUTMAX*(E99/2-C99)*1000</f>
        <v>2.645037037</v>
      </c>
      <c r="N99" s="289">
        <f t="shared" si="7"/>
        <v>0.006084735577</v>
      </c>
      <c r="O99" s="11">
        <f t="shared" si="8"/>
        <v>2.25</v>
      </c>
      <c r="P99" s="11">
        <f>(A99-B99)*(I_Cout_ss*$Q$2+C99)</f>
        <v>2.769230769</v>
      </c>
      <c r="Q99" s="11">
        <f>(A99-B99)*(I_Cout_ss*$R$2+C99)</f>
        <v>1.730769231</v>
      </c>
      <c r="R99" s="11"/>
      <c r="S99" s="11"/>
      <c r="T99" s="11"/>
      <c r="U99" s="11"/>
      <c r="V99" s="11"/>
      <c r="W99" s="11"/>
      <c r="X99" s="11"/>
      <c r="Y99" s="11"/>
      <c r="Z99" s="11"/>
      <c r="AA99" s="11"/>
      <c r="AB99" s="11"/>
      <c r="AC99" s="11"/>
    </row>
    <row r="100" ht="12.0" customHeight="1">
      <c r="A100" s="11">
        <f>VINMAX</f>
        <v>30</v>
      </c>
      <c r="B100" s="292">
        <f>VINMAX*((ROW()-10)/104)</f>
        <v>25.96153846</v>
      </c>
      <c r="C100" s="267">
        <f t="shared" si="1"/>
        <v>0.2</v>
      </c>
      <c r="D100" s="262">
        <f>B2</f>
        <v>70.4</v>
      </c>
      <c r="E100" s="252">
        <f t="shared" si="2"/>
        <v>17.43238095</v>
      </c>
      <c r="F100" s="267">
        <f>I_Cout_ss+C100</f>
        <v>0.52</v>
      </c>
      <c r="G100" s="267">
        <f t="shared" si="3"/>
        <v>0.52</v>
      </c>
      <c r="H100" s="267">
        <f t="shared" si="4"/>
        <v>0.32</v>
      </c>
      <c r="I100" s="266">
        <f>(COUTMAX/1000000)*(B100-B99)/H100</f>
        <v>0.002704326923</v>
      </c>
      <c r="J100" s="266">
        <f t="shared" si="9"/>
        <v>0.2433894231</v>
      </c>
      <c r="K100" s="291">
        <f t="shared" si="5"/>
        <v>243.3894231</v>
      </c>
      <c r="L100" s="268">
        <f t="shared" si="6"/>
        <v>0.6153846154</v>
      </c>
      <c r="M100" s="11">
        <f>1/COUTMAX*(E100/2-C100)*1000</f>
        <v>2.838730159</v>
      </c>
      <c r="N100" s="289">
        <f t="shared" si="7"/>
        <v>0.005679086538</v>
      </c>
      <c r="O100" s="11">
        <f t="shared" si="8"/>
        <v>2.1</v>
      </c>
      <c r="P100" s="11">
        <f>(A100-B100)*(I_Cout_ss*$Q$2+C100)</f>
        <v>2.584615385</v>
      </c>
      <c r="Q100" s="11">
        <f>(A100-B100)*(I_Cout_ss*$R$2+C100)</f>
        <v>1.615384615</v>
      </c>
      <c r="R100" s="11"/>
      <c r="S100" s="11"/>
      <c r="T100" s="11"/>
      <c r="U100" s="11"/>
      <c r="V100" s="11"/>
      <c r="W100" s="11"/>
      <c r="X100" s="11"/>
      <c r="Y100" s="11"/>
      <c r="Z100" s="11"/>
      <c r="AA100" s="11"/>
      <c r="AB100" s="11"/>
      <c r="AC100" s="11"/>
    </row>
    <row r="101" ht="12.0" customHeight="1">
      <c r="A101" s="11">
        <f>VINMAX</f>
        <v>30</v>
      </c>
      <c r="B101" s="292">
        <f>VINMAX*((ROW()-10)/104)</f>
        <v>26.25</v>
      </c>
      <c r="C101" s="267">
        <f t="shared" si="1"/>
        <v>0.2</v>
      </c>
      <c r="D101" s="262">
        <f>B2</f>
        <v>70.4</v>
      </c>
      <c r="E101" s="252">
        <f t="shared" si="2"/>
        <v>18.77333333</v>
      </c>
      <c r="F101" s="267">
        <f>I_Cout_ss+C101</f>
        <v>0.52</v>
      </c>
      <c r="G101" s="267">
        <f t="shared" si="3"/>
        <v>0.52</v>
      </c>
      <c r="H101" s="267">
        <f t="shared" si="4"/>
        <v>0.32</v>
      </c>
      <c r="I101" s="266">
        <f>(COUTMAX/1000000)*(B101-B100)/H101</f>
        <v>0.002704326923</v>
      </c>
      <c r="J101" s="266">
        <f t="shared" si="9"/>
        <v>0.24609375</v>
      </c>
      <c r="K101" s="291">
        <f t="shared" si="5"/>
        <v>246.09375</v>
      </c>
      <c r="L101" s="268">
        <f t="shared" si="6"/>
        <v>0.6153846154</v>
      </c>
      <c r="M101" s="11">
        <f>1/COUTMAX*(E101/2-C101)*1000</f>
        <v>3.062222222</v>
      </c>
      <c r="N101" s="289">
        <f t="shared" si="7"/>
        <v>0.0052734375</v>
      </c>
      <c r="O101" s="11">
        <f t="shared" si="8"/>
        <v>1.95</v>
      </c>
      <c r="P101" s="11">
        <f>(A101-B101)*(I_Cout_ss*$Q$2+C101)</f>
        <v>2.4</v>
      </c>
      <c r="Q101" s="11">
        <f>(A101-B101)*(I_Cout_ss*$R$2+C101)</f>
        <v>1.5</v>
      </c>
      <c r="R101" s="11"/>
      <c r="S101" s="11"/>
      <c r="T101" s="11"/>
      <c r="U101" s="11"/>
      <c r="V101" s="11"/>
      <c r="W101" s="11"/>
      <c r="X101" s="11"/>
      <c r="Y101" s="11"/>
      <c r="Z101" s="11"/>
      <c r="AA101" s="11"/>
      <c r="AB101" s="11"/>
      <c r="AC101" s="11"/>
    </row>
    <row r="102" ht="12.0" customHeight="1">
      <c r="A102" s="11">
        <f>VINMAX</f>
        <v>30</v>
      </c>
      <c r="B102" s="292">
        <f>VINMAX*((ROW()-10)/104)</f>
        <v>26.53846154</v>
      </c>
      <c r="C102" s="267">
        <f t="shared" si="1"/>
        <v>0.2</v>
      </c>
      <c r="D102" s="262">
        <f>B2</f>
        <v>70.4</v>
      </c>
      <c r="E102" s="252">
        <f t="shared" si="2"/>
        <v>20.33777778</v>
      </c>
      <c r="F102" s="267">
        <f>I_Cout_ss+C102</f>
        <v>0.52</v>
      </c>
      <c r="G102" s="267">
        <f t="shared" si="3"/>
        <v>0.52</v>
      </c>
      <c r="H102" s="267">
        <f t="shared" si="4"/>
        <v>0.32</v>
      </c>
      <c r="I102" s="266">
        <f>(COUTMAX/1000000)*(B102-B101)/H102</f>
        <v>0.002704326923</v>
      </c>
      <c r="J102" s="266">
        <f t="shared" si="9"/>
        <v>0.2487980769</v>
      </c>
      <c r="K102" s="291">
        <f t="shared" si="5"/>
        <v>248.7980769</v>
      </c>
      <c r="L102" s="268">
        <f t="shared" si="6"/>
        <v>0.6153846154</v>
      </c>
      <c r="M102" s="11">
        <f>1/COUTMAX*(E102/2-C102)*1000</f>
        <v>3.322962963</v>
      </c>
      <c r="N102" s="289">
        <f t="shared" si="7"/>
        <v>0.004867788462</v>
      </c>
      <c r="O102" s="11">
        <f t="shared" si="8"/>
        <v>1.8</v>
      </c>
      <c r="P102" s="11">
        <f>(A102-B102)*(I_Cout_ss*$Q$2+C102)</f>
        <v>2.215384615</v>
      </c>
      <c r="Q102" s="11">
        <f>(A102-B102)*(I_Cout_ss*$R$2+C102)</f>
        <v>1.384615385</v>
      </c>
      <c r="R102" s="11"/>
      <c r="S102" s="11"/>
      <c r="T102" s="11"/>
      <c r="U102" s="11"/>
      <c r="V102" s="11"/>
      <c r="W102" s="11"/>
      <c r="X102" s="11"/>
      <c r="Y102" s="11"/>
      <c r="Z102" s="11"/>
      <c r="AA102" s="11"/>
      <c r="AB102" s="11"/>
      <c r="AC102" s="11"/>
    </row>
    <row r="103" ht="12.0" customHeight="1">
      <c r="A103" s="11">
        <f>VINMAX</f>
        <v>30</v>
      </c>
      <c r="B103" s="292">
        <f>VINMAX*((ROW()-10)/104)</f>
        <v>26.82692308</v>
      </c>
      <c r="C103" s="267">
        <f t="shared" si="1"/>
        <v>0.2</v>
      </c>
      <c r="D103" s="262">
        <f>B2</f>
        <v>70.4</v>
      </c>
      <c r="E103" s="252">
        <f t="shared" si="2"/>
        <v>22</v>
      </c>
      <c r="F103" s="267">
        <f>I_Cout_ss+C103</f>
        <v>0.52</v>
      </c>
      <c r="G103" s="267">
        <f t="shared" si="3"/>
        <v>0.52</v>
      </c>
      <c r="H103" s="267">
        <f t="shared" si="4"/>
        <v>0.32</v>
      </c>
      <c r="I103" s="266">
        <f>(COUTMAX/1000000)*(B103-B102)/H103</f>
        <v>0.002704326923</v>
      </c>
      <c r="J103" s="266">
        <f t="shared" si="9"/>
        <v>0.2515024038</v>
      </c>
      <c r="K103" s="291">
        <f t="shared" si="5"/>
        <v>251.5024038</v>
      </c>
      <c r="L103" s="268">
        <f t="shared" si="6"/>
        <v>0.6153846154</v>
      </c>
      <c r="M103" s="11">
        <f>1/COUTMAX*(E103/2-C103)*1000</f>
        <v>3.6</v>
      </c>
      <c r="N103" s="289">
        <f t="shared" si="7"/>
        <v>0.004462139423</v>
      </c>
      <c r="O103" s="11">
        <f t="shared" si="8"/>
        <v>1.65</v>
      </c>
      <c r="P103" s="11">
        <f>(A103-B103)*(I_Cout_ss*$Q$2+C103)</f>
        <v>2.030769231</v>
      </c>
      <c r="Q103" s="11">
        <f>(A103-B103)*(I_Cout_ss*$R$2+C103)</f>
        <v>1.269230769</v>
      </c>
      <c r="R103" s="11"/>
      <c r="S103" s="11"/>
      <c r="T103" s="11"/>
      <c r="U103" s="11"/>
      <c r="V103" s="11"/>
      <c r="W103" s="11"/>
      <c r="X103" s="11"/>
      <c r="Y103" s="11"/>
      <c r="Z103" s="11"/>
      <c r="AA103" s="11"/>
      <c r="AB103" s="11"/>
      <c r="AC103" s="11"/>
    </row>
    <row r="104" ht="12.0" customHeight="1">
      <c r="A104" s="11">
        <f>VINMAX</f>
        <v>30</v>
      </c>
      <c r="B104" s="292">
        <f>VINMAX*((ROW()-10)/104)</f>
        <v>27.11538462</v>
      </c>
      <c r="C104" s="267">
        <f t="shared" si="1"/>
        <v>0.2</v>
      </c>
      <c r="D104" s="262">
        <f>B2</f>
        <v>70.4</v>
      </c>
      <c r="E104" s="252">
        <f t="shared" si="2"/>
        <v>22</v>
      </c>
      <c r="F104" s="267">
        <f>I_Cout_ss+C104</f>
        <v>0.52</v>
      </c>
      <c r="G104" s="267">
        <f t="shared" si="3"/>
        <v>0.52</v>
      </c>
      <c r="H104" s="267">
        <f t="shared" si="4"/>
        <v>0.32</v>
      </c>
      <c r="I104" s="266">
        <f>(COUTMAX/1000000)*(B104-B103)/H104</f>
        <v>0.002704326923</v>
      </c>
      <c r="J104" s="266">
        <f t="shared" si="9"/>
        <v>0.2542067308</v>
      </c>
      <c r="K104" s="291">
        <f t="shared" si="5"/>
        <v>254.2067308</v>
      </c>
      <c r="L104" s="268">
        <f t="shared" si="6"/>
        <v>0.6153846154</v>
      </c>
      <c r="M104" s="11">
        <f>1/COUTMAX*(E104/2-C104)*1000</f>
        <v>3.6</v>
      </c>
      <c r="N104" s="289">
        <f t="shared" si="7"/>
        <v>0.004056490385</v>
      </c>
      <c r="O104" s="11">
        <f t="shared" si="8"/>
        <v>1.5</v>
      </c>
      <c r="P104" s="11">
        <f>(A104-B104)*(I_Cout_ss*$Q$2+C104)</f>
        <v>1.846153846</v>
      </c>
      <c r="Q104" s="11">
        <f>(A104-B104)*(I_Cout_ss*$R$2+C104)</f>
        <v>1.153846154</v>
      </c>
      <c r="R104" s="11"/>
      <c r="S104" s="11"/>
      <c r="T104" s="11"/>
      <c r="U104" s="11"/>
      <c r="V104" s="11"/>
      <c r="W104" s="11"/>
      <c r="X104" s="11"/>
      <c r="Y104" s="11"/>
      <c r="Z104" s="11"/>
      <c r="AA104" s="11"/>
      <c r="AB104" s="11"/>
      <c r="AC104" s="11"/>
    </row>
    <row r="105" ht="12.0" customHeight="1">
      <c r="A105" s="11">
        <f>VINMAX</f>
        <v>30</v>
      </c>
      <c r="B105" s="292">
        <f>VINMAX*((ROW()-10)/104)</f>
        <v>27.40384615</v>
      </c>
      <c r="C105" s="267">
        <f t="shared" si="1"/>
        <v>0.2</v>
      </c>
      <c r="D105" s="262">
        <f>B2</f>
        <v>70.4</v>
      </c>
      <c r="E105" s="252">
        <f t="shared" si="2"/>
        <v>22</v>
      </c>
      <c r="F105" s="267">
        <f>I_Cout_ss+C105</f>
        <v>0.52</v>
      </c>
      <c r="G105" s="267">
        <f t="shared" si="3"/>
        <v>0.52</v>
      </c>
      <c r="H105" s="267">
        <f t="shared" si="4"/>
        <v>0.32</v>
      </c>
      <c r="I105" s="266">
        <f>(COUTMAX/1000000)*(B105-B104)/H105</f>
        <v>0.002704326923</v>
      </c>
      <c r="J105" s="266">
        <f t="shared" si="9"/>
        <v>0.2569110577</v>
      </c>
      <c r="K105" s="291">
        <f t="shared" si="5"/>
        <v>256.9110577</v>
      </c>
      <c r="L105" s="268">
        <f t="shared" si="6"/>
        <v>0.6153846154</v>
      </c>
      <c r="M105" s="11">
        <f>1/COUTMAX*(E105/2-C105)*1000</f>
        <v>3.6</v>
      </c>
      <c r="N105" s="289">
        <f t="shared" si="7"/>
        <v>0.003650841346</v>
      </c>
      <c r="O105" s="11">
        <f t="shared" si="8"/>
        <v>1.35</v>
      </c>
      <c r="P105" s="11">
        <f>(A105-B105)*(I_Cout_ss*$Q$2+C105)</f>
        <v>1.661538462</v>
      </c>
      <c r="Q105" s="11">
        <f>(A105-B105)*(I_Cout_ss*$R$2+C105)</f>
        <v>1.038461538</v>
      </c>
      <c r="R105" s="11"/>
      <c r="S105" s="11"/>
      <c r="T105" s="11"/>
      <c r="U105" s="11"/>
      <c r="V105" s="11"/>
      <c r="W105" s="11"/>
      <c r="X105" s="11"/>
      <c r="Y105" s="11"/>
      <c r="Z105" s="11"/>
      <c r="AA105" s="11"/>
      <c r="AB105" s="11"/>
      <c r="AC105" s="11"/>
    </row>
    <row r="106" ht="12.0" customHeight="1">
      <c r="A106" s="11">
        <f>VINMAX</f>
        <v>30</v>
      </c>
      <c r="B106" s="292">
        <f>VINMAX*((ROW()-10)/104)</f>
        <v>27.69230769</v>
      </c>
      <c r="C106" s="267">
        <f t="shared" si="1"/>
        <v>0.2</v>
      </c>
      <c r="D106" s="262">
        <f>B2</f>
        <v>70.4</v>
      </c>
      <c r="E106" s="252">
        <f t="shared" si="2"/>
        <v>22</v>
      </c>
      <c r="F106" s="267">
        <f>I_Cout_ss+C106</f>
        <v>0.52</v>
      </c>
      <c r="G106" s="267">
        <f t="shared" si="3"/>
        <v>0.52</v>
      </c>
      <c r="H106" s="267">
        <f t="shared" si="4"/>
        <v>0.32</v>
      </c>
      <c r="I106" s="266">
        <f>(COUTMAX/1000000)*(B106-B105)/H106</f>
        <v>0.002704326923</v>
      </c>
      <c r="J106" s="266">
        <f t="shared" si="9"/>
        <v>0.2596153846</v>
      </c>
      <c r="K106" s="291">
        <f t="shared" si="5"/>
        <v>259.6153846</v>
      </c>
      <c r="L106" s="268">
        <f t="shared" si="6"/>
        <v>0.6153846154</v>
      </c>
      <c r="M106" s="11">
        <f>1/COUTMAX*(E106/2-C106)*1000</f>
        <v>3.6</v>
      </c>
      <c r="N106" s="289">
        <f t="shared" si="7"/>
        <v>0.003245192308</v>
      </c>
      <c r="O106" s="11">
        <f t="shared" si="8"/>
        <v>1.2</v>
      </c>
      <c r="P106" s="11">
        <f>(A106-B106)*(I_Cout_ss*$Q$2+C106)</f>
        <v>1.476923077</v>
      </c>
      <c r="Q106" s="11">
        <f>(A106-B106)*(I_Cout_ss*$R$2+C106)</f>
        <v>0.9230769231</v>
      </c>
      <c r="R106" s="11"/>
      <c r="S106" s="11"/>
      <c r="T106" s="11"/>
      <c r="U106" s="11"/>
      <c r="V106" s="11"/>
      <c r="W106" s="11"/>
      <c r="X106" s="11"/>
      <c r="Y106" s="11"/>
      <c r="Z106" s="11"/>
      <c r="AA106" s="11"/>
      <c r="AB106" s="11"/>
      <c r="AC106" s="11"/>
    </row>
    <row r="107" ht="12.0" customHeight="1">
      <c r="A107" s="11">
        <f>VINMAX</f>
        <v>30</v>
      </c>
      <c r="B107" s="292">
        <f>VINMAX*((ROW()-10)/104)</f>
        <v>27.98076923</v>
      </c>
      <c r="C107" s="267">
        <f t="shared" si="1"/>
        <v>0.2</v>
      </c>
      <c r="D107" s="262">
        <f>B2</f>
        <v>70.4</v>
      </c>
      <c r="E107" s="252">
        <f t="shared" si="2"/>
        <v>22</v>
      </c>
      <c r="F107" s="267">
        <f>I_Cout_ss+C107</f>
        <v>0.52</v>
      </c>
      <c r="G107" s="267">
        <f t="shared" si="3"/>
        <v>0.52</v>
      </c>
      <c r="H107" s="267">
        <f t="shared" si="4"/>
        <v>0.32</v>
      </c>
      <c r="I107" s="266">
        <f>(COUTMAX/1000000)*(B107-B106)/H107</f>
        <v>0.002704326923</v>
      </c>
      <c r="J107" s="266">
        <f t="shared" si="9"/>
        <v>0.2623197115</v>
      </c>
      <c r="K107" s="291">
        <f t="shared" si="5"/>
        <v>262.3197115</v>
      </c>
      <c r="L107" s="268">
        <f t="shared" si="6"/>
        <v>0.6153846154</v>
      </c>
      <c r="M107" s="11">
        <f>1/COUTMAX*(E107/2-C107)*1000</f>
        <v>3.6</v>
      </c>
      <c r="N107" s="289">
        <f t="shared" si="7"/>
        <v>0.002839543269</v>
      </c>
      <c r="O107" s="11">
        <f t="shared" si="8"/>
        <v>1.05</v>
      </c>
      <c r="P107" s="11">
        <f>(A107-B107)*(I_Cout_ss*$Q$2+C107)</f>
        <v>1.292307692</v>
      </c>
      <c r="Q107" s="11">
        <f>(A107-B107)*(I_Cout_ss*$R$2+C107)</f>
        <v>0.8076923077</v>
      </c>
      <c r="R107" s="11"/>
      <c r="S107" s="11"/>
      <c r="T107" s="11"/>
      <c r="U107" s="11"/>
      <c r="V107" s="11"/>
      <c r="W107" s="11"/>
      <c r="X107" s="11"/>
      <c r="Y107" s="11"/>
      <c r="Z107" s="11"/>
      <c r="AA107" s="11"/>
      <c r="AB107" s="11"/>
      <c r="AC107" s="11"/>
    </row>
    <row r="108" ht="12.0" customHeight="1">
      <c r="A108" s="11">
        <f>VINMAX</f>
        <v>30</v>
      </c>
      <c r="B108" s="292">
        <f>VINMAX*((ROW()-10)/104)</f>
        <v>28.26923077</v>
      </c>
      <c r="C108" s="267">
        <f t="shared" si="1"/>
        <v>0.2</v>
      </c>
      <c r="D108" s="262">
        <f>B2</f>
        <v>70.4</v>
      </c>
      <c r="E108" s="252">
        <f t="shared" si="2"/>
        <v>22</v>
      </c>
      <c r="F108" s="267">
        <f>I_Cout_ss+C108</f>
        <v>0.52</v>
      </c>
      <c r="G108" s="267">
        <f t="shared" si="3"/>
        <v>0.52</v>
      </c>
      <c r="H108" s="267">
        <f t="shared" si="4"/>
        <v>0.32</v>
      </c>
      <c r="I108" s="266">
        <f>(COUTMAX/1000000)*(B108-B107)/H108</f>
        <v>0.002704326923</v>
      </c>
      <c r="J108" s="266">
        <f t="shared" si="9"/>
        <v>0.2650240385</v>
      </c>
      <c r="K108" s="291">
        <f t="shared" si="5"/>
        <v>265.0240385</v>
      </c>
      <c r="L108" s="268">
        <f t="shared" si="6"/>
        <v>0.6153846154</v>
      </c>
      <c r="M108" s="11">
        <f>1/COUTMAX*(E108/2-C108)*1000</f>
        <v>3.6</v>
      </c>
      <c r="N108" s="289">
        <f t="shared" si="7"/>
        <v>0.002433894231</v>
      </c>
      <c r="O108" s="11">
        <f t="shared" si="8"/>
        <v>0.9</v>
      </c>
      <c r="P108" s="11">
        <f>(A108-B108)*(I_Cout_ss*$Q$2+C108)</f>
        <v>1.107692308</v>
      </c>
      <c r="Q108" s="11">
        <f>(A108-B108)*(I_Cout_ss*$R$2+C108)</f>
        <v>0.6923076923</v>
      </c>
      <c r="R108" s="11"/>
      <c r="S108" s="11"/>
      <c r="T108" s="11"/>
      <c r="U108" s="11"/>
      <c r="V108" s="11"/>
      <c r="W108" s="11"/>
      <c r="X108" s="11"/>
      <c r="Y108" s="11"/>
      <c r="Z108" s="11"/>
      <c r="AA108" s="11"/>
      <c r="AB108" s="11"/>
      <c r="AC108" s="11"/>
    </row>
    <row r="109" ht="12.0" customHeight="1">
      <c r="A109" s="11">
        <f>VINMAX</f>
        <v>30</v>
      </c>
      <c r="B109" s="292">
        <f>VINMAX*((ROW()-10)/104)</f>
        <v>28.55769231</v>
      </c>
      <c r="C109" s="267">
        <f t="shared" si="1"/>
        <v>0.2</v>
      </c>
      <c r="D109" s="262">
        <f>B2</f>
        <v>70.4</v>
      </c>
      <c r="E109" s="252">
        <f t="shared" si="2"/>
        <v>22</v>
      </c>
      <c r="F109" s="267">
        <f>I_Cout_ss+C109</f>
        <v>0.52</v>
      </c>
      <c r="G109" s="267">
        <f t="shared" si="3"/>
        <v>0.52</v>
      </c>
      <c r="H109" s="267">
        <f t="shared" si="4"/>
        <v>0.32</v>
      </c>
      <c r="I109" s="266">
        <f>(COUTMAX/1000000)*(B109-B108)/H109</f>
        <v>0.002704326923</v>
      </c>
      <c r="J109" s="266">
        <f t="shared" si="9"/>
        <v>0.2677283654</v>
      </c>
      <c r="K109" s="291">
        <f t="shared" si="5"/>
        <v>267.7283654</v>
      </c>
      <c r="L109" s="268">
        <f t="shared" si="6"/>
        <v>0.6153846154</v>
      </c>
      <c r="M109" s="11">
        <f>1/COUTMAX*(E109/2-C109)*1000</f>
        <v>3.6</v>
      </c>
      <c r="N109" s="289">
        <f t="shared" si="7"/>
        <v>0.002028245192</v>
      </c>
      <c r="O109" s="11">
        <f t="shared" si="8"/>
        <v>0.75</v>
      </c>
      <c r="P109" s="11">
        <f>(A109-B109)*(I_Cout_ss*$Q$2+C109)</f>
        <v>0.9230769231</v>
      </c>
      <c r="Q109" s="11">
        <f>(A109-B109)*(I_Cout_ss*$R$2+C109)</f>
        <v>0.5769230769</v>
      </c>
      <c r="R109" s="11"/>
      <c r="S109" s="11"/>
      <c r="T109" s="11"/>
      <c r="U109" s="11"/>
      <c r="V109" s="11"/>
      <c r="W109" s="11"/>
      <c r="X109" s="11"/>
      <c r="Y109" s="11"/>
      <c r="Z109" s="11"/>
      <c r="AA109" s="11"/>
      <c r="AB109" s="11"/>
      <c r="AC109" s="11"/>
    </row>
    <row r="110" ht="12.0" customHeight="1">
      <c r="A110" s="11">
        <f>VINMAX</f>
        <v>30</v>
      </c>
      <c r="B110" s="292">
        <f>VINMAX*((ROW()-10)/104)</f>
        <v>28.84615385</v>
      </c>
      <c r="C110" s="267">
        <f t="shared" si="1"/>
        <v>0.2</v>
      </c>
      <c r="D110" s="262">
        <f>B2</f>
        <v>70.4</v>
      </c>
      <c r="E110" s="252">
        <f t="shared" si="2"/>
        <v>22</v>
      </c>
      <c r="F110" s="267">
        <f>I_Cout_ss+C110</f>
        <v>0.52</v>
      </c>
      <c r="G110" s="267">
        <f t="shared" si="3"/>
        <v>0.52</v>
      </c>
      <c r="H110" s="267">
        <f t="shared" si="4"/>
        <v>0.32</v>
      </c>
      <c r="I110" s="266">
        <f>(COUTMAX/1000000)*(B110-B109)/H110</f>
        <v>0.002704326923</v>
      </c>
      <c r="J110" s="266">
        <f t="shared" si="9"/>
        <v>0.2704326923</v>
      </c>
      <c r="K110" s="291">
        <f t="shared" si="5"/>
        <v>270.4326923</v>
      </c>
      <c r="L110" s="268">
        <f t="shared" si="6"/>
        <v>0.6153846154</v>
      </c>
      <c r="M110" s="11">
        <f>1/COUTMAX*(E110/2-C110)*1000</f>
        <v>3.6</v>
      </c>
      <c r="N110" s="289">
        <f t="shared" si="7"/>
        <v>0.001622596154</v>
      </c>
      <c r="O110" s="11">
        <f t="shared" si="8"/>
        <v>0.6</v>
      </c>
      <c r="P110" s="11">
        <f>(A110-B110)*(I_Cout_ss*$Q$2+C110)</f>
        <v>0.7384615385</v>
      </c>
      <c r="Q110" s="11">
        <f>(A110-B110)*(I_Cout_ss*$R$2+C110)</f>
        <v>0.4615384615</v>
      </c>
      <c r="R110" s="11"/>
      <c r="S110" s="11"/>
      <c r="T110" s="11"/>
      <c r="U110" s="11"/>
      <c r="V110" s="11"/>
      <c r="W110" s="11"/>
      <c r="X110" s="11"/>
      <c r="Y110" s="11"/>
      <c r="Z110" s="11"/>
      <c r="AA110" s="11"/>
      <c r="AB110" s="11"/>
      <c r="AC110" s="11"/>
    </row>
    <row r="111" ht="12.0" customHeight="1">
      <c r="A111" s="11">
        <f>VINMAX</f>
        <v>30</v>
      </c>
      <c r="B111" s="292">
        <f>VINMAX*((ROW()-10)/104)</f>
        <v>29.13461538</v>
      </c>
      <c r="C111" s="267">
        <f t="shared" si="1"/>
        <v>0.2</v>
      </c>
      <c r="D111" s="262">
        <f>B2</f>
        <v>70.4</v>
      </c>
      <c r="E111" s="291">
        <f t="shared" ref="E111:E114" si="10">$C$2</f>
        <v>22</v>
      </c>
      <c r="F111" s="267">
        <f>I_Cout_ss+C111</f>
        <v>0.52</v>
      </c>
      <c r="G111" s="267">
        <f t="shared" si="3"/>
        <v>0.52</v>
      </c>
      <c r="H111" s="267">
        <f t="shared" si="4"/>
        <v>0.32</v>
      </c>
      <c r="I111" s="266">
        <f>(COUTMAX/1000000)*(B111-B110)/H111</f>
        <v>0.002704326923</v>
      </c>
      <c r="J111" s="266">
        <f t="shared" si="9"/>
        <v>0.2731370192</v>
      </c>
      <c r="K111" s="291">
        <f t="shared" si="5"/>
        <v>273.1370192</v>
      </c>
      <c r="L111" s="268">
        <f t="shared" si="6"/>
        <v>0.6153846154</v>
      </c>
      <c r="M111" s="11">
        <f>1/COUTMAX*(E111/2-C111)*1000</f>
        <v>3.6</v>
      </c>
      <c r="N111" s="289">
        <f t="shared" si="7"/>
        <v>0.001216947115</v>
      </c>
      <c r="O111" s="11">
        <f t="shared" si="8"/>
        <v>0.45</v>
      </c>
      <c r="P111" s="11">
        <f>(A111-B111)*(I_Cout_ss*$Q$2+C111)</f>
        <v>0.5538461538</v>
      </c>
      <c r="Q111" s="11">
        <f>(A111-B111)*(I_Cout_ss*$R$2+C111)</f>
        <v>0.3461538462</v>
      </c>
      <c r="R111" s="11"/>
      <c r="S111" s="11"/>
      <c r="T111" s="11"/>
      <c r="U111" s="11"/>
      <c r="V111" s="11"/>
      <c r="W111" s="11"/>
      <c r="X111" s="11"/>
      <c r="Y111" s="11"/>
      <c r="Z111" s="11"/>
      <c r="AA111" s="11"/>
      <c r="AB111" s="11"/>
      <c r="AC111" s="11"/>
    </row>
    <row r="112" ht="12.0" customHeight="1">
      <c r="A112" s="11">
        <f>VINMAX</f>
        <v>30</v>
      </c>
      <c r="B112" s="292">
        <f>VINMAX*((ROW()-10)/104)</f>
        <v>29.42307692</v>
      </c>
      <c r="C112" s="267">
        <f t="shared" si="1"/>
        <v>0.2</v>
      </c>
      <c r="D112" s="262">
        <f>B2</f>
        <v>70.4</v>
      </c>
      <c r="E112" s="291">
        <f t="shared" si="10"/>
        <v>22</v>
      </c>
      <c r="F112" s="267">
        <f>I_Cout_ss+C112</f>
        <v>0.52</v>
      </c>
      <c r="G112" s="267">
        <f t="shared" si="3"/>
        <v>0.52</v>
      </c>
      <c r="H112" s="267">
        <f t="shared" si="4"/>
        <v>0.32</v>
      </c>
      <c r="I112" s="266">
        <f>(COUTMAX/1000000)*(B112-B111)/H112</f>
        <v>0.002704326923</v>
      </c>
      <c r="J112" s="266">
        <f t="shared" si="9"/>
        <v>0.2758413462</v>
      </c>
      <c r="K112" s="291">
        <f t="shared" si="5"/>
        <v>275.8413462</v>
      </c>
      <c r="L112" s="268">
        <f t="shared" si="6"/>
        <v>0.6153846154</v>
      </c>
      <c r="M112" s="11">
        <f>1/COUTMAX*(E112/2-C112)*1000</f>
        <v>3.6</v>
      </c>
      <c r="N112" s="289">
        <f t="shared" si="7"/>
        <v>0.0008112980769</v>
      </c>
      <c r="O112" s="11">
        <f t="shared" si="8"/>
        <v>0.3</v>
      </c>
      <c r="P112" s="11">
        <f>(A112-B112)*(I_Cout_ss*$Q$2+C112)</f>
        <v>0.3692307692</v>
      </c>
      <c r="Q112" s="11">
        <f>(A112-B112)*(I_Cout_ss*$R$2+C112)</f>
        <v>0.2307692308</v>
      </c>
      <c r="R112" s="11"/>
      <c r="S112" s="11"/>
      <c r="T112" s="11"/>
      <c r="U112" s="11"/>
      <c r="V112" s="11"/>
      <c r="W112" s="11"/>
      <c r="X112" s="11"/>
      <c r="Y112" s="11"/>
      <c r="Z112" s="11"/>
      <c r="AA112" s="11"/>
      <c r="AB112" s="11"/>
      <c r="AC112" s="11"/>
    </row>
    <row r="113" ht="12.0" customHeight="1">
      <c r="A113" s="11">
        <f>VINMAX</f>
        <v>30</v>
      </c>
      <c r="B113" s="292">
        <f>VINMAX*((ROW()-10)/104)</f>
        <v>29.71153846</v>
      </c>
      <c r="C113" s="267">
        <f t="shared" si="1"/>
        <v>0.2</v>
      </c>
      <c r="D113" s="262">
        <f>B2</f>
        <v>70.4</v>
      </c>
      <c r="E113" s="291">
        <f t="shared" si="10"/>
        <v>22</v>
      </c>
      <c r="F113" s="267">
        <f>I_Cout_ss+C113</f>
        <v>0.52</v>
      </c>
      <c r="G113" s="267">
        <f t="shared" si="3"/>
        <v>0.52</v>
      </c>
      <c r="H113" s="267">
        <f t="shared" si="4"/>
        <v>0.32</v>
      </c>
      <c r="I113" s="266">
        <f>(COUTMAX/1000000)*(B113-B112)/H113</f>
        <v>0.002704326923</v>
      </c>
      <c r="J113" s="266">
        <f t="shared" si="9"/>
        <v>0.2785456731</v>
      </c>
      <c r="K113" s="291">
        <f t="shared" si="5"/>
        <v>278.5456731</v>
      </c>
      <c r="L113" s="268">
        <f t="shared" si="6"/>
        <v>0.6153846154</v>
      </c>
      <c r="M113" s="11">
        <f>1/COUTMAX*(E113/2-C113)*1000</f>
        <v>3.6</v>
      </c>
      <c r="N113" s="289">
        <f t="shared" si="7"/>
        <v>0.0004056490385</v>
      </c>
      <c r="O113" s="11">
        <f t="shared" si="8"/>
        <v>0.15</v>
      </c>
      <c r="P113" s="11">
        <f>(A113-B113)*(I_Cout_ss*$Q$2+C113)</f>
        <v>0.1846153846</v>
      </c>
      <c r="Q113" s="11">
        <f>(A113-B113)*(I_Cout_ss*$R$2+C113)</f>
        <v>0.1153846154</v>
      </c>
      <c r="R113" s="11"/>
      <c r="S113" s="11"/>
      <c r="T113" s="11"/>
      <c r="U113" s="11"/>
      <c r="V113" s="11"/>
      <c r="W113" s="11"/>
      <c r="X113" s="11"/>
      <c r="Y113" s="11"/>
      <c r="Z113" s="11"/>
      <c r="AA113" s="11"/>
      <c r="AB113" s="11"/>
      <c r="AC113" s="11"/>
    </row>
    <row r="114" ht="12.0" customHeight="1">
      <c r="A114" s="11">
        <f>VINMAX</f>
        <v>30</v>
      </c>
      <c r="B114" s="292">
        <f>VINMAX*((ROW()-10)/104)</f>
        <v>30</v>
      </c>
      <c r="C114" s="267">
        <f t="shared" si="1"/>
        <v>0.2</v>
      </c>
      <c r="D114" s="262">
        <f>B2</f>
        <v>70.4</v>
      </c>
      <c r="E114" s="291">
        <f t="shared" si="10"/>
        <v>22</v>
      </c>
      <c r="F114" s="267">
        <f>I_Cout_ss+C114</f>
        <v>0.52</v>
      </c>
      <c r="G114" s="267">
        <f t="shared" si="3"/>
        <v>0.52</v>
      </c>
      <c r="H114" s="267">
        <f t="shared" si="4"/>
        <v>0.32</v>
      </c>
      <c r="I114" s="266">
        <f>(COUTMAX/1000000)*(B114-B113)/H114</f>
        <v>0.002704326923</v>
      </c>
      <c r="J114" s="266">
        <f t="shared" si="9"/>
        <v>0.28125</v>
      </c>
      <c r="K114" s="291">
        <f t="shared" si="5"/>
        <v>281.25</v>
      </c>
      <c r="L114" s="268">
        <f t="shared" si="6"/>
        <v>0.6153846154</v>
      </c>
      <c r="M114" s="11">
        <f>1/COUTMAX*(E114/2-C114)*1000</f>
        <v>3.6</v>
      </c>
      <c r="N114" s="289">
        <f t="shared" si="7"/>
        <v>0</v>
      </c>
      <c r="O114" s="11">
        <f t="shared" si="8"/>
        <v>0</v>
      </c>
      <c r="P114" s="11">
        <f>(A114-B114)*(I_Cout_ss*$Q$2+C114)</f>
        <v>0</v>
      </c>
      <c r="Q114" s="11">
        <f>(A114-B114)*(I_Cout_ss*$R$2+C114)</f>
        <v>0</v>
      </c>
      <c r="R114" s="11"/>
      <c r="S114" s="11"/>
      <c r="T114" s="11"/>
      <c r="U114" s="11"/>
      <c r="V114" s="11"/>
      <c r="W114" s="11"/>
      <c r="X114" s="11"/>
      <c r="Y114" s="11"/>
      <c r="Z114" s="11"/>
      <c r="AA114" s="11"/>
      <c r="AB114" s="11"/>
      <c r="AC114" s="11"/>
    </row>
    <row r="115" ht="12.0" customHeight="1">
      <c r="A115" s="11"/>
      <c r="B115" s="11"/>
      <c r="C115" s="11"/>
      <c r="D115" s="11"/>
      <c r="E115" s="11"/>
      <c r="F115" s="11"/>
      <c r="G115" s="11"/>
      <c r="H115" s="11"/>
      <c r="I115" s="11"/>
      <c r="J115" s="11"/>
      <c r="K115" s="288">
        <f>K114+0.5</f>
        <v>281.75</v>
      </c>
      <c r="L115" s="11"/>
      <c r="M115" s="11"/>
      <c r="N115" s="11">
        <v>0.0</v>
      </c>
      <c r="O115" s="11">
        <v>0.0</v>
      </c>
      <c r="P115" s="11"/>
      <c r="Q115" s="11"/>
      <c r="R115" s="11"/>
      <c r="S115" s="11"/>
      <c r="T115" s="11"/>
      <c r="U115" s="11"/>
      <c r="V115" s="11"/>
      <c r="W115" s="11"/>
      <c r="X115" s="11"/>
      <c r="Y115" s="11"/>
      <c r="Z115" s="11"/>
      <c r="AA115" s="11"/>
      <c r="AB115" s="11"/>
      <c r="AC115" s="11"/>
    </row>
    <row r="116" ht="12.0"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row>
    <row r="117" ht="12.0"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row>
    <row r="118" ht="12.0"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row>
    <row r="119" ht="12.0"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row>
    <row r="120" ht="12.0" customHeight="1">
      <c r="A120" s="11"/>
      <c r="B120" s="11" t="s">
        <v>429</v>
      </c>
      <c r="C120" s="11" t="s">
        <v>753</v>
      </c>
      <c r="D120" s="11" t="s">
        <v>754</v>
      </c>
      <c r="E120" s="11"/>
      <c r="F120" s="287" t="s">
        <v>755</v>
      </c>
      <c r="G120" s="287" t="s">
        <v>756</v>
      </c>
      <c r="H120" s="287" t="s">
        <v>757</v>
      </c>
      <c r="I120" s="287" t="s">
        <v>758</v>
      </c>
      <c r="J120" s="287" t="s">
        <v>759</v>
      </c>
      <c r="K120" s="287"/>
      <c r="L120" s="287"/>
      <c r="M120" s="287" t="s">
        <v>760</v>
      </c>
      <c r="N120" s="287"/>
      <c r="O120" s="287" t="s">
        <v>761</v>
      </c>
      <c r="P120" s="11"/>
      <c r="Q120" s="11" t="s">
        <v>762</v>
      </c>
      <c r="R120" s="11" t="s">
        <v>763</v>
      </c>
      <c r="S120" s="11"/>
      <c r="T120" s="11"/>
      <c r="U120" s="11"/>
      <c r="V120" s="11"/>
      <c r="W120" s="11"/>
      <c r="X120" s="11"/>
      <c r="Y120" s="11"/>
      <c r="Z120" s="11"/>
      <c r="AA120" s="11"/>
      <c r="AB120" s="11"/>
      <c r="AC120" s="11"/>
    </row>
    <row r="121" ht="12.0" customHeight="1">
      <c r="A121" s="11"/>
      <c r="B121" s="143">
        <f>'Design Calculator'!F52</f>
        <v>70.4</v>
      </c>
      <c r="C121" s="288">
        <f>'Design Calculator'!F42</f>
        <v>22</v>
      </c>
      <c r="D121" s="11" t="str">
        <f>IF( 'Design Calculator'!F28 = "Constant Current", "CC", "R")</f>
        <v>CC</v>
      </c>
      <c r="E121" s="11"/>
      <c r="F121" s="11" t="str">
        <f>'Design Calculator'!F30</f>
        <v>Soft Start</v>
      </c>
      <c r="G121" s="11">
        <f>'Design Calculator'!F29</f>
        <v>0.2</v>
      </c>
      <c r="H121" s="11">
        <f>'Design Calculator'!F27</f>
        <v>0</v>
      </c>
      <c r="I121" s="11">
        <f>RsEFF</f>
        <v>2.5</v>
      </c>
      <c r="J121" s="11">
        <f>'Device Parameters'!E12</f>
        <v>0.001</v>
      </c>
      <c r="K121" s="11"/>
      <c r="L121" s="11"/>
      <c r="M121" s="143">
        <f>J233*1000</f>
        <v>281.25</v>
      </c>
      <c r="N121" s="11" t="s">
        <v>77</v>
      </c>
      <c r="O121" s="268">
        <f>MIN(L129:L230)</f>
        <v>0.6153846154</v>
      </c>
      <c r="P121" s="11"/>
      <c r="Q121" s="11">
        <f>'Device Parameters'!E30/'Device Parameters'!D30</f>
        <v>1.375</v>
      </c>
      <c r="R121" s="11">
        <f>'Device Parameters'!C30/'Device Parameters'!D30</f>
        <v>0.625</v>
      </c>
      <c r="S121" s="11"/>
      <c r="T121" s="11"/>
      <c r="U121" s="11"/>
      <c r="V121" s="11"/>
      <c r="W121" s="11"/>
      <c r="X121" s="11"/>
      <c r="Y121" s="11"/>
      <c r="Z121" s="11"/>
      <c r="AA121" s="11"/>
      <c r="AB121" s="11"/>
      <c r="AC121" s="11"/>
    </row>
    <row r="122" ht="12.0" customHeight="1">
      <c r="A122" s="11"/>
      <c r="B122" s="143"/>
      <c r="C122" s="11"/>
      <c r="D122" s="11"/>
      <c r="E122" s="11"/>
      <c r="F122" s="11"/>
      <c r="G122" s="11"/>
      <c r="H122" s="11"/>
      <c r="I122" s="11"/>
      <c r="J122" s="11"/>
      <c r="K122" s="11"/>
      <c r="L122" s="11"/>
      <c r="M122" s="143"/>
      <c r="N122" s="11"/>
      <c r="O122" s="268"/>
      <c r="P122" s="11"/>
      <c r="Q122" s="11"/>
      <c r="R122" s="11"/>
      <c r="S122" s="11"/>
      <c r="T122" s="11"/>
      <c r="U122" s="11"/>
      <c r="V122" s="11"/>
      <c r="W122" s="11"/>
      <c r="X122" s="11"/>
      <c r="Y122" s="11"/>
      <c r="Z122" s="11"/>
      <c r="AA122" s="11"/>
      <c r="AB122" s="11"/>
      <c r="AC122" s="11"/>
    </row>
    <row r="123" ht="12.0" customHeight="1">
      <c r="A123" s="11"/>
      <c r="B123" s="143"/>
      <c r="C123" s="11"/>
      <c r="D123" s="11" t="s">
        <v>764</v>
      </c>
      <c r="E123" s="11"/>
      <c r="F123" s="11"/>
      <c r="G123" s="11"/>
      <c r="H123" s="11"/>
      <c r="I123" s="11"/>
      <c r="J123" s="11"/>
      <c r="K123" s="11"/>
      <c r="L123" s="11"/>
      <c r="M123" s="143" t="s">
        <v>765</v>
      </c>
      <c r="N123" s="11">
        <f>MIN(M129:M233)</f>
        <v>0.3244444444</v>
      </c>
      <c r="O123" s="268" t="s">
        <v>166</v>
      </c>
      <c r="P123" s="11" t="s">
        <v>766</v>
      </c>
      <c r="Q123" s="11">
        <f>MAX(O129:O233)</f>
        <v>15.6</v>
      </c>
      <c r="R123" s="11" t="s">
        <v>88</v>
      </c>
      <c r="S123" s="11"/>
      <c r="T123" s="11"/>
      <c r="U123" s="11"/>
      <c r="V123" s="11"/>
      <c r="W123" s="11"/>
      <c r="X123" s="11"/>
      <c r="Y123" s="11"/>
      <c r="Z123" s="11"/>
      <c r="AA123" s="11"/>
      <c r="AB123" s="11"/>
      <c r="AC123" s="11"/>
    </row>
    <row r="124" ht="12.0" customHeight="1">
      <c r="A124" s="11"/>
      <c r="B124" s="143"/>
      <c r="C124" s="11"/>
      <c r="D124" s="11"/>
      <c r="E124" s="11"/>
      <c r="F124" s="11"/>
      <c r="G124" s="11"/>
      <c r="H124" s="11"/>
      <c r="I124" s="11"/>
      <c r="J124" s="11"/>
      <c r="K124" s="11"/>
      <c r="L124" s="11"/>
      <c r="M124" s="11" t="s">
        <v>767</v>
      </c>
      <c r="N124" s="289">
        <f>SUM(N129:N233)</f>
        <v>2.17265625</v>
      </c>
      <c r="O124" s="268" t="s">
        <v>360</v>
      </c>
      <c r="P124" s="11" t="s">
        <v>768</v>
      </c>
      <c r="Q124" s="11">
        <f>MAX(P129:P233)</f>
        <v>19.2</v>
      </c>
      <c r="R124" s="11" t="s">
        <v>88</v>
      </c>
      <c r="S124" s="11"/>
      <c r="T124" s="11"/>
      <c r="U124" s="11"/>
      <c r="V124" s="11"/>
      <c r="W124" s="11"/>
      <c r="X124" s="11"/>
      <c r="Y124" s="11"/>
      <c r="Z124" s="11"/>
      <c r="AA124" s="11"/>
      <c r="AB124" s="11"/>
      <c r="AC124" s="11"/>
    </row>
    <row r="125" ht="12.0" customHeight="1">
      <c r="A125" s="11"/>
      <c r="B125" s="11"/>
      <c r="C125" s="11"/>
      <c r="D125" s="11"/>
      <c r="E125" s="11"/>
      <c r="F125" s="11"/>
      <c r="G125" s="11"/>
      <c r="H125" s="11"/>
      <c r="I125" s="11"/>
      <c r="J125" s="11"/>
      <c r="K125" s="11"/>
      <c r="L125" s="11"/>
      <c r="M125" s="11"/>
      <c r="N125" s="11"/>
      <c r="O125" s="11"/>
      <c r="P125" s="11" t="s">
        <v>769</v>
      </c>
      <c r="Q125" s="11">
        <f>MAX(Q129:Q233)</f>
        <v>12</v>
      </c>
      <c r="R125" s="11" t="s">
        <v>88</v>
      </c>
      <c r="S125" s="11"/>
      <c r="T125" s="11"/>
      <c r="U125" s="11"/>
      <c r="V125" s="11"/>
      <c r="W125" s="11"/>
      <c r="X125" s="11"/>
      <c r="Y125" s="11"/>
      <c r="Z125" s="11"/>
      <c r="AA125" s="11"/>
      <c r="AB125" s="11"/>
      <c r="AC125" s="11"/>
    </row>
    <row r="126" ht="12.0" customHeight="1">
      <c r="A126" s="290" t="s">
        <v>770</v>
      </c>
      <c r="B126" s="263" t="s">
        <v>771</v>
      </c>
      <c r="C126" s="263" t="s">
        <v>772</v>
      </c>
      <c r="D126" s="263" t="s">
        <v>429</v>
      </c>
      <c r="E126" s="263" t="s">
        <v>773</v>
      </c>
      <c r="F126" s="263" t="s">
        <v>774</v>
      </c>
      <c r="G126" s="263" t="s">
        <v>775</v>
      </c>
      <c r="H126" s="263" t="s">
        <v>776</v>
      </c>
      <c r="I126" s="263" t="s">
        <v>794</v>
      </c>
      <c r="J126" s="263" t="s">
        <v>778</v>
      </c>
      <c r="K126" s="263" t="s">
        <v>779</v>
      </c>
      <c r="L126" s="290" t="s">
        <v>780</v>
      </c>
      <c r="M126" s="290" t="s">
        <v>781</v>
      </c>
      <c r="N126" s="290" t="s">
        <v>782</v>
      </c>
      <c r="O126" s="290" t="s">
        <v>783</v>
      </c>
      <c r="P126" s="11" t="s">
        <v>784</v>
      </c>
      <c r="Q126" s="11" t="s">
        <v>785</v>
      </c>
      <c r="R126" s="11"/>
      <c r="S126" s="11"/>
      <c r="T126" s="11"/>
      <c r="U126" s="11"/>
      <c r="V126" s="11"/>
      <c r="W126" s="11"/>
      <c r="X126" s="11"/>
      <c r="Y126" s="11"/>
      <c r="Z126" s="11"/>
      <c r="AA126" s="11"/>
      <c r="AB126" s="11"/>
      <c r="AC126" s="11"/>
    </row>
    <row r="127" ht="12.0" customHeight="1">
      <c r="A127" s="290"/>
      <c r="B127" s="263"/>
      <c r="C127" s="263"/>
      <c r="D127" s="263"/>
      <c r="E127" s="263"/>
      <c r="F127" s="263"/>
      <c r="G127" s="263"/>
      <c r="H127" s="263"/>
      <c r="I127" s="263"/>
      <c r="J127" s="263"/>
      <c r="K127" s="291">
        <v>-1.0</v>
      </c>
      <c r="L127" s="290"/>
      <c r="M127" s="290"/>
      <c r="N127" s="290"/>
      <c r="O127" s="11">
        <v>0.0</v>
      </c>
      <c r="P127" s="11"/>
      <c r="Q127" s="11"/>
      <c r="R127" s="11"/>
      <c r="S127" s="11"/>
      <c r="T127" s="11"/>
      <c r="U127" s="11"/>
      <c r="V127" s="11"/>
      <c r="W127" s="11"/>
      <c r="X127" s="11"/>
      <c r="Y127" s="11"/>
      <c r="Z127" s="11"/>
      <c r="AA127" s="11"/>
      <c r="AB127" s="11"/>
      <c r="AC127" s="11"/>
    </row>
    <row r="128" ht="12.0" customHeight="1">
      <c r="A128" s="290"/>
      <c r="B128" s="263"/>
      <c r="C128" s="263"/>
      <c r="D128" s="263"/>
      <c r="E128" s="263"/>
      <c r="F128" s="263"/>
      <c r="G128" s="263"/>
      <c r="H128" s="263"/>
      <c r="I128" s="263"/>
      <c r="J128" s="263"/>
      <c r="K128" s="262">
        <v>-0.01</v>
      </c>
      <c r="L128" s="290"/>
      <c r="M128" s="290"/>
      <c r="N128" s="290"/>
      <c r="O128" s="11">
        <v>0.0</v>
      </c>
      <c r="P128" s="11"/>
      <c r="Q128" s="11"/>
      <c r="R128" s="11"/>
      <c r="S128" s="11"/>
      <c r="T128" s="11"/>
      <c r="U128" s="11"/>
      <c r="V128" s="11"/>
      <c r="W128" s="11"/>
      <c r="X128" s="11"/>
      <c r="Y128" s="11"/>
      <c r="Z128" s="11"/>
      <c r="AA128" s="11"/>
      <c r="AB128" s="11"/>
      <c r="AC128" s="11"/>
    </row>
    <row r="129" ht="12.0" customHeight="1">
      <c r="A129" s="11">
        <f>VINMAX</f>
        <v>30</v>
      </c>
      <c r="B129" s="292">
        <f>VINMAX*((ROW()-129)/104)</f>
        <v>0</v>
      </c>
      <c r="C129" s="267">
        <f t="shared" ref="C129:C233" si="11">IF(B129&gt;=$H$121,IF($D$121="CC", $G$121, B129/$G$121), 0)</f>
        <v>0.2</v>
      </c>
      <c r="D129" s="262">
        <f>B121</f>
        <v>70.4</v>
      </c>
      <c r="E129" s="252">
        <f t="shared" ref="E129:E229" si="12">MIN(D129/(A129-B129),$C$121)</f>
        <v>2.346666667</v>
      </c>
      <c r="F129" s="267">
        <f>Equations!$G$69+C129</f>
        <v>0.52</v>
      </c>
      <c r="G129" s="267">
        <f t="shared" ref="G129:G233" si="13">IF($F$121="Soft Start", F129, E129)</f>
        <v>0.52</v>
      </c>
      <c r="H129" s="267">
        <f t="shared" ref="H129:H233" si="14">G129-C129</f>
        <v>0.32</v>
      </c>
      <c r="I129" s="266">
        <f>(COUTMAX/1000000)*(B129)/H129</f>
        <v>0</v>
      </c>
      <c r="J129" s="266">
        <f>I129</f>
        <v>0</v>
      </c>
      <c r="K129" s="291">
        <f t="shared" ref="K129:K233" si="15">J129*1000</f>
        <v>0</v>
      </c>
      <c r="L129" s="268">
        <f t="shared" ref="L129:L233" si="16">H129/G129</f>
        <v>0.6153846154</v>
      </c>
      <c r="M129" s="11">
        <f>1/COUTMAX*(E129/2-C129)*1000</f>
        <v>0.3244444444</v>
      </c>
      <c r="N129" s="289">
        <f t="shared" ref="N129:N233" si="17">I129*G129*(A129-B129)</f>
        <v>0</v>
      </c>
      <c r="O129" s="11">
        <f t="shared" ref="O129:O233" si="18">G129*(A129-B129)</f>
        <v>15.6</v>
      </c>
      <c r="P129" s="11">
        <f>(A129-B129)*(Equations!$G$69*$Q$121+C129)</f>
        <v>19.2</v>
      </c>
      <c r="Q129" s="11">
        <f>(A129-B129)*(Equations!$G$69*$R$121+C129)</f>
        <v>12</v>
      </c>
      <c r="R129" s="11"/>
      <c r="S129" s="11"/>
      <c r="T129" s="11"/>
      <c r="U129" s="11"/>
      <c r="V129" s="11"/>
      <c r="W129" s="11"/>
      <c r="X129" s="11"/>
      <c r="Y129" s="11"/>
      <c r="Z129" s="11"/>
      <c r="AA129" s="11"/>
      <c r="AB129" s="11"/>
      <c r="AC129" s="11"/>
    </row>
    <row r="130" ht="12.0" customHeight="1">
      <c r="A130" s="11">
        <f>VINMAX</f>
        <v>30</v>
      </c>
      <c r="B130" s="292">
        <f>VINMAX*((ROW()-129)/104)</f>
        <v>0.2884615385</v>
      </c>
      <c r="C130" s="267">
        <f t="shared" si="11"/>
        <v>0.2</v>
      </c>
      <c r="D130" s="262">
        <f>B121</f>
        <v>70.4</v>
      </c>
      <c r="E130" s="252">
        <f t="shared" si="12"/>
        <v>2.369449838</v>
      </c>
      <c r="F130" s="267">
        <f>Equations!$G$69+C130</f>
        <v>0.52</v>
      </c>
      <c r="G130" s="267">
        <f t="shared" si="13"/>
        <v>0.52</v>
      </c>
      <c r="H130" s="267">
        <f t="shared" si="14"/>
        <v>0.32</v>
      </c>
      <c r="I130" s="266">
        <f>(COUTMAX/1000000)*(B130-B129)/H130</f>
        <v>0.002704326923</v>
      </c>
      <c r="J130" s="266">
        <f t="shared" ref="J130:J233" si="19">J129+I130</f>
        <v>0.002704326923</v>
      </c>
      <c r="K130" s="291">
        <f t="shared" si="15"/>
        <v>2.704326923</v>
      </c>
      <c r="L130" s="268">
        <f t="shared" si="16"/>
        <v>0.6153846154</v>
      </c>
      <c r="M130" s="11">
        <f>1/COUTMAX*(E130/2-C130)*1000</f>
        <v>0.3282416397</v>
      </c>
      <c r="N130" s="289">
        <f t="shared" si="17"/>
        <v>0.04178185096</v>
      </c>
      <c r="O130" s="11">
        <f t="shared" si="18"/>
        <v>15.45</v>
      </c>
      <c r="P130" s="11">
        <f>(A130-B130)*(Equations!$G$69*$Q$121+C130)</f>
        <v>19.01538462</v>
      </c>
      <c r="Q130" s="11">
        <f>(A130-B130)*(Equations!$G$69*$R$121+C130)</f>
        <v>11.88461538</v>
      </c>
      <c r="R130" s="11"/>
      <c r="S130" s="11"/>
      <c r="T130" s="11"/>
      <c r="U130" s="11"/>
      <c r="V130" s="11"/>
      <c r="W130" s="11"/>
      <c r="X130" s="11"/>
      <c r="Y130" s="11"/>
      <c r="Z130" s="11"/>
      <c r="AA130" s="11"/>
      <c r="AB130" s="11"/>
      <c r="AC130" s="11"/>
    </row>
    <row r="131" ht="12.0" customHeight="1">
      <c r="A131" s="11">
        <f>VINMAX</f>
        <v>30</v>
      </c>
      <c r="B131" s="292">
        <f>VINMAX*((ROW()-129)/104)</f>
        <v>0.5769230769</v>
      </c>
      <c r="C131" s="267">
        <f t="shared" si="11"/>
        <v>0.2</v>
      </c>
      <c r="D131" s="262">
        <f>B121</f>
        <v>70.4</v>
      </c>
      <c r="E131" s="252">
        <f t="shared" si="12"/>
        <v>2.392679739</v>
      </c>
      <c r="F131" s="267">
        <f>Equations!$G$69+C131</f>
        <v>0.52</v>
      </c>
      <c r="G131" s="267">
        <f t="shared" si="13"/>
        <v>0.52</v>
      </c>
      <c r="H131" s="267">
        <f t="shared" si="14"/>
        <v>0.32</v>
      </c>
      <c r="I131" s="266">
        <f>(COUTMAX/1000000)*(B131-B130)/H131</f>
        <v>0.002704326923</v>
      </c>
      <c r="J131" s="266">
        <f t="shared" si="19"/>
        <v>0.005408653846</v>
      </c>
      <c r="K131" s="291">
        <f t="shared" si="15"/>
        <v>5.408653846</v>
      </c>
      <c r="L131" s="268">
        <f t="shared" si="16"/>
        <v>0.6153846154</v>
      </c>
      <c r="M131" s="11">
        <f>1/COUTMAX*(E131/2-C131)*1000</f>
        <v>0.3321132898</v>
      </c>
      <c r="N131" s="289">
        <f t="shared" si="17"/>
        <v>0.04137620192</v>
      </c>
      <c r="O131" s="11">
        <f t="shared" si="18"/>
        <v>15.3</v>
      </c>
      <c r="P131" s="11">
        <f>(A131-B131)*(Equations!$G$69*$Q$121+C131)</f>
        <v>18.83076923</v>
      </c>
      <c r="Q131" s="11">
        <f>(A131-B131)*(Equations!$G$69*$R$121+C131)</f>
        <v>11.76923077</v>
      </c>
      <c r="R131" s="11"/>
      <c r="S131" s="11"/>
      <c r="T131" s="11"/>
      <c r="U131" s="11"/>
      <c r="V131" s="11"/>
      <c r="W131" s="11"/>
      <c r="X131" s="293" t="s">
        <v>786</v>
      </c>
      <c r="Y131" s="294"/>
      <c r="Z131" s="11"/>
      <c r="AA131" s="11"/>
      <c r="AB131" s="11"/>
      <c r="AC131" s="11"/>
    </row>
    <row r="132" ht="12.0" customHeight="1">
      <c r="A132" s="11">
        <f>VINMAX</f>
        <v>30</v>
      </c>
      <c r="B132" s="292">
        <f>VINMAX*((ROW()-129)/104)</f>
        <v>0.8653846154</v>
      </c>
      <c r="C132" s="267">
        <f t="shared" si="11"/>
        <v>0.2</v>
      </c>
      <c r="D132" s="262">
        <f>B121</f>
        <v>70.4</v>
      </c>
      <c r="E132" s="252">
        <f t="shared" si="12"/>
        <v>2.416369637</v>
      </c>
      <c r="F132" s="267">
        <f>Equations!$G$69+C132</f>
        <v>0.52</v>
      </c>
      <c r="G132" s="267">
        <f t="shared" si="13"/>
        <v>0.52</v>
      </c>
      <c r="H132" s="267">
        <f t="shared" si="14"/>
        <v>0.32</v>
      </c>
      <c r="I132" s="266">
        <f>(COUTMAX/1000000)*(B132-B131)/H132</f>
        <v>0.002704326923</v>
      </c>
      <c r="J132" s="266">
        <f t="shared" si="19"/>
        <v>0.008112980769</v>
      </c>
      <c r="K132" s="291">
        <f t="shared" si="15"/>
        <v>8.112980769</v>
      </c>
      <c r="L132" s="268">
        <f t="shared" si="16"/>
        <v>0.6153846154</v>
      </c>
      <c r="M132" s="11">
        <f>1/COUTMAX*(E132/2-C132)*1000</f>
        <v>0.3360616062</v>
      </c>
      <c r="N132" s="289">
        <f t="shared" si="17"/>
        <v>0.04097055288</v>
      </c>
      <c r="O132" s="11">
        <f t="shared" si="18"/>
        <v>15.15</v>
      </c>
      <c r="P132" s="11">
        <f>(A132-B132)*(Equations!$G$69*$Q$121+C132)</f>
        <v>18.64615385</v>
      </c>
      <c r="Q132" s="11">
        <f>(A132-B132)*(Equations!$G$69*$R$121+C132)</f>
        <v>11.65384615</v>
      </c>
      <c r="R132" s="11"/>
      <c r="S132" s="11"/>
      <c r="T132" s="11"/>
      <c r="U132" s="11"/>
      <c r="V132" s="11"/>
      <c r="W132" s="11"/>
      <c r="X132" s="295" t="s">
        <v>787</v>
      </c>
      <c r="Y132" s="295">
        <v>0.3</v>
      </c>
      <c r="Z132" s="11"/>
      <c r="AA132" s="11"/>
      <c r="AB132" s="11"/>
      <c r="AC132" s="11"/>
    </row>
    <row r="133" ht="12.0" customHeight="1">
      <c r="A133" s="11">
        <f>VINMAX</f>
        <v>30</v>
      </c>
      <c r="B133" s="292">
        <f>VINMAX*((ROW()-129)/104)</f>
        <v>1.153846154</v>
      </c>
      <c r="C133" s="267">
        <f t="shared" si="11"/>
        <v>0.2</v>
      </c>
      <c r="D133" s="262">
        <f>B121</f>
        <v>70.4</v>
      </c>
      <c r="E133" s="252">
        <f t="shared" si="12"/>
        <v>2.440533333</v>
      </c>
      <c r="F133" s="267">
        <f>Equations!$G$69+C133</f>
        <v>0.52</v>
      </c>
      <c r="G133" s="267">
        <f t="shared" si="13"/>
        <v>0.52</v>
      </c>
      <c r="H133" s="267">
        <f t="shared" si="14"/>
        <v>0.32</v>
      </c>
      <c r="I133" s="266">
        <f>(COUTMAX/1000000)*(B133-B132)/H133</f>
        <v>0.002704326923</v>
      </c>
      <c r="J133" s="266">
        <f t="shared" si="19"/>
        <v>0.01081730769</v>
      </c>
      <c r="K133" s="291">
        <f t="shared" si="15"/>
        <v>10.81730769</v>
      </c>
      <c r="L133" s="268">
        <f t="shared" si="16"/>
        <v>0.6153846154</v>
      </c>
      <c r="M133" s="11">
        <f>1/COUTMAX*(E133/2-C133)*1000</f>
        <v>0.3400888889</v>
      </c>
      <c r="N133" s="289">
        <f t="shared" si="17"/>
        <v>0.04056490385</v>
      </c>
      <c r="O133" s="11">
        <f t="shared" si="18"/>
        <v>15</v>
      </c>
      <c r="P133" s="11">
        <f>(A133-B133)*(Equations!$G$69*$Q$121+C133)</f>
        <v>18.46153846</v>
      </c>
      <c r="Q133" s="11">
        <f>(A133-B133)*(Equations!$G$69*$R$121+C133)</f>
        <v>11.53846154</v>
      </c>
      <c r="R133" s="11"/>
      <c r="S133" s="11"/>
      <c r="T133" s="11"/>
      <c r="U133" s="11"/>
      <c r="V133" s="11"/>
      <c r="W133" s="11"/>
      <c r="X133" s="295" t="s">
        <v>788</v>
      </c>
      <c r="Y133" s="295">
        <v>0.3</v>
      </c>
      <c r="Z133" s="11"/>
      <c r="AA133" s="11"/>
      <c r="AB133" s="11"/>
      <c r="AC133" s="11"/>
    </row>
    <row r="134" ht="12.0" customHeight="1">
      <c r="A134" s="11">
        <f>VINMAX</f>
        <v>30</v>
      </c>
      <c r="B134" s="292">
        <f>VINMAX*((ROW()-129)/104)</f>
        <v>1.442307692</v>
      </c>
      <c r="C134" s="267">
        <f t="shared" si="11"/>
        <v>0.2</v>
      </c>
      <c r="D134" s="262">
        <f>B121</f>
        <v>70.4</v>
      </c>
      <c r="E134" s="252">
        <f t="shared" si="12"/>
        <v>2.465185185</v>
      </c>
      <c r="F134" s="267">
        <f>Equations!$G$69+C134</f>
        <v>0.52</v>
      </c>
      <c r="G134" s="267">
        <f t="shared" si="13"/>
        <v>0.52</v>
      </c>
      <c r="H134" s="267">
        <f t="shared" si="14"/>
        <v>0.32</v>
      </c>
      <c r="I134" s="266">
        <f>(COUTMAX/1000000)*(B134-B133)/H134</f>
        <v>0.002704326923</v>
      </c>
      <c r="J134" s="266">
        <f t="shared" si="19"/>
        <v>0.01352163462</v>
      </c>
      <c r="K134" s="291">
        <f t="shared" si="15"/>
        <v>13.52163462</v>
      </c>
      <c r="L134" s="268">
        <f t="shared" si="16"/>
        <v>0.6153846154</v>
      </c>
      <c r="M134" s="11">
        <f>1/COUTMAX*(E134/2-C134)*1000</f>
        <v>0.3441975309</v>
      </c>
      <c r="N134" s="289">
        <f t="shared" si="17"/>
        <v>0.04015925481</v>
      </c>
      <c r="O134" s="11">
        <f t="shared" si="18"/>
        <v>14.85</v>
      </c>
      <c r="P134" s="11">
        <f>(A134-B134)*(Equations!$G$69*$Q$121+C134)</f>
        <v>18.27692308</v>
      </c>
      <c r="Q134" s="11">
        <f>(A134-B134)*(Equations!$G$69*$R$121+C134)</f>
        <v>11.42307692</v>
      </c>
      <c r="R134" s="11"/>
      <c r="S134" s="11"/>
      <c r="T134" s="11"/>
      <c r="U134" s="11"/>
      <c r="V134" s="11"/>
      <c r="W134" s="11"/>
      <c r="X134" s="295" t="s">
        <v>789</v>
      </c>
      <c r="Y134" s="295">
        <f>SQRT(Y133^2+Y132^2)</f>
        <v>0.4242640687</v>
      </c>
      <c r="Z134" s="11"/>
      <c r="AA134" s="11"/>
      <c r="AB134" s="11"/>
      <c r="AC134" s="11"/>
    </row>
    <row r="135" ht="12.0" customHeight="1">
      <c r="A135" s="11">
        <f>VINMAX</f>
        <v>30</v>
      </c>
      <c r="B135" s="292">
        <f>VINMAX*((ROW()-129)/104)</f>
        <v>1.730769231</v>
      </c>
      <c r="C135" s="267">
        <f t="shared" si="11"/>
        <v>0.2</v>
      </c>
      <c r="D135" s="262">
        <f>B121</f>
        <v>70.4</v>
      </c>
      <c r="E135" s="252">
        <f t="shared" si="12"/>
        <v>2.490340136</v>
      </c>
      <c r="F135" s="267">
        <f>Equations!$G$69+C135</f>
        <v>0.52</v>
      </c>
      <c r="G135" s="267">
        <f t="shared" si="13"/>
        <v>0.52</v>
      </c>
      <c r="H135" s="267">
        <f t="shared" si="14"/>
        <v>0.32</v>
      </c>
      <c r="I135" s="266">
        <f>(COUTMAX/1000000)*(B135-B134)/H135</f>
        <v>0.002704326923</v>
      </c>
      <c r="J135" s="266">
        <f t="shared" si="19"/>
        <v>0.01622596154</v>
      </c>
      <c r="K135" s="291">
        <f t="shared" si="15"/>
        <v>16.22596154</v>
      </c>
      <c r="L135" s="268">
        <f t="shared" si="16"/>
        <v>0.6153846154</v>
      </c>
      <c r="M135" s="11">
        <f>1/COUTMAX*(E135/2-C135)*1000</f>
        <v>0.3483900227</v>
      </c>
      <c r="N135" s="289">
        <f t="shared" si="17"/>
        <v>0.03975360577</v>
      </c>
      <c r="O135" s="11">
        <f t="shared" si="18"/>
        <v>14.7</v>
      </c>
      <c r="P135" s="11">
        <f>(A135-B135)*(Equations!$G$69*$Q$121+C135)</f>
        <v>18.09230769</v>
      </c>
      <c r="Q135" s="11">
        <f>(A135-B135)*(Equations!$G$69*$R$121+C135)</f>
        <v>11.30769231</v>
      </c>
      <c r="R135" s="11"/>
      <c r="S135" s="11"/>
      <c r="T135" s="11"/>
      <c r="U135" s="11"/>
      <c r="V135" s="11"/>
      <c r="W135" s="11"/>
      <c r="X135" s="295"/>
      <c r="Y135" s="295"/>
      <c r="Z135" s="11"/>
      <c r="AA135" s="11"/>
      <c r="AB135" s="11"/>
      <c r="AC135" s="11"/>
    </row>
    <row r="136" ht="12.0" customHeight="1">
      <c r="A136" s="11">
        <f>VINMAX</f>
        <v>30</v>
      </c>
      <c r="B136" s="292">
        <f>VINMAX*((ROW()-129)/104)</f>
        <v>2.019230769</v>
      </c>
      <c r="C136" s="267">
        <f t="shared" si="11"/>
        <v>0.2</v>
      </c>
      <c r="D136" s="262">
        <f>B121</f>
        <v>70.4</v>
      </c>
      <c r="E136" s="252">
        <f t="shared" si="12"/>
        <v>2.516013746</v>
      </c>
      <c r="F136" s="267">
        <f>Equations!$G$69+C136</f>
        <v>0.52</v>
      </c>
      <c r="G136" s="267">
        <f t="shared" si="13"/>
        <v>0.52</v>
      </c>
      <c r="H136" s="267">
        <f t="shared" si="14"/>
        <v>0.32</v>
      </c>
      <c r="I136" s="266">
        <f>(COUTMAX/1000000)*(B136-B135)/H136</f>
        <v>0.002704326923</v>
      </c>
      <c r="J136" s="266">
        <f t="shared" si="19"/>
        <v>0.01893028846</v>
      </c>
      <c r="K136" s="291">
        <f t="shared" si="15"/>
        <v>18.93028846</v>
      </c>
      <c r="L136" s="268">
        <f t="shared" si="16"/>
        <v>0.6153846154</v>
      </c>
      <c r="M136" s="11">
        <f>1/COUTMAX*(E136/2-C136)*1000</f>
        <v>0.3526689576</v>
      </c>
      <c r="N136" s="289">
        <f t="shared" si="17"/>
        <v>0.03934795673</v>
      </c>
      <c r="O136" s="11">
        <f t="shared" si="18"/>
        <v>14.55</v>
      </c>
      <c r="P136" s="11">
        <f>(A136-B136)*(Equations!$G$69*$Q$121+C136)</f>
        <v>17.90769231</v>
      </c>
      <c r="Q136" s="11">
        <f>(A136-B136)*(Equations!$G$69*$R$121+C136)</f>
        <v>11.19230769</v>
      </c>
      <c r="R136" s="11"/>
      <c r="S136" s="11"/>
      <c r="T136" s="11"/>
      <c r="U136" s="11"/>
      <c r="V136" s="11"/>
      <c r="W136" s="11"/>
      <c r="X136" s="295" t="s">
        <v>429</v>
      </c>
      <c r="Y136" s="295">
        <v>0.3</v>
      </c>
      <c r="Z136" s="11"/>
      <c r="AA136" s="11"/>
      <c r="AB136" s="11"/>
      <c r="AC136" s="11"/>
    </row>
    <row r="137" ht="12.0" customHeight="1">
      <c r="A137" s="11">
        <f>VINMAX</f>
        <v>30</v>
      </c>
      <c r="B137" s="292">
        <f>VINMAX*((ROW()-129)/104)</f>
        <v>2.307692308</v>
      </c>
      <c r="C137" s="267">
        <f t="shared" si="11"/>
        <v>0.2</v>
      </c>
      <c r="D137" s="262">
        <f>B121</f>
        <v>70.4</v>
      </c>
      <c r="E137" s="252">
        <f t="shared" si="12"/>
        <v>2.542222222</v>
      </c>
      <c r="F137" s="267">
        <f>Equations!$G$69+C137</f>
        <v>0.52</v>
      </c>
      <c r="G137" s="267">
        <f t="shared" si="13"/>
        <v>0.52</v>
      </c>
      <c r="H137" s="267">
        <f t="shared" si="14"/>
        <v>0.32</v>
      </c>
      <c r="I137" s="266">
        <f>(COUTMAX/1000000)*(B137-B136)/H137</f>
        <v>0.002704326923</v>
      </c>
      <c r="J137" s="266">
        <f t="shared" si="19"/>
        <v>0.02163461538</v>
      </c>
      <c r="K137" s="291">
        <f t="shared" si="15"/>
        <v>21.63461538</v>
      </c>
      <c r="L137" s="268">
        <f t="shared" si="16"/>
        <v>0.6153846154</v>
      </c>
      <c r="M137" s="11">
        <f>1/COUTMAX*(E137/2-C137)*1000</f>
        <v>0.357037037</v>
      </c>
      <c r="N137" s="289">
        <f t="shared" si="17"/>
        <v>0.03894230769</v>
      </c>
      <c r="O137" s="11">
        <f t="shared" si="18"/>
        <v>14.4</v>
      </c>
      <c r="P137" s="11">
        <f>(A137-B137)*(Equations!$G$69*$Q$121+C137)</f>
        <v>17.72307692</v>
      </c>
      <c r="Q137" s="11">
        <f>(A137-B137)*(Equations!$G$69*$R$121+C137)</f>
        <v>11.07692308</v>
      </c>
      <c r="R137" s="11"/>
      <c r="S137" s="11"/>
      <c r="T137" s="11"/>
      <c r="U137" s="11"/>
      <c r="V137" s="11"/>
      <c r="W137" s="11"/>
      <c r="X137" s="295" t="s">
        <v>790</v>
      </c>
      <c r="Y137" s="295">
        <f>MAX(Y134:Y136)</f>
        <v>0.4242640687</v>
      </c>
      <c r="Z137" s="11"/>
      <c r="AA137" s="11"/>
      <c r="AB137" s="11"/>
      <c r="AC137" s="11"/>
    </row>
    <row r="138" ht="12.0" customHeight="1">
      <c r="A138" s="11">
        <f>VINMAX</f>
        <v>30</v>
      </c>
      <c r="B138" s="292">
        <f>VINMAX*((ROW()-129)/104)</f>
        <v>2.596153846</v>
      </c>
      <c r="C138" s="267">
        <f t="shared" si="11"/>
        <v>0.2</v>
      </c>
      <c r="D138" s="262">
        <f>B121</f>
        <v>70.4</v>
      </c>
      <c r="E138" s="252">
        <f t="shared" si="12"/>
        <v>2.568982456</v>
      </c>
      <c r="F138" s="267">
        <f>Equations!$G$69+C138</f>
        <v>0.52</v>
      </c>
      <c r="G138" s="267">
        <f t="shared" si="13"/>
        <v>0.52</v>
      </c>
      <c r="H138" s="267">
        <f t="shared" si="14"/>
        <v>0.32</v>
      </c>
      <c r="I138" s="266">
        <f>(COUTMAX/1000000)*(B138-B137)/H138</f>
        <v>0.002704326923</v>
      </c>
      <c r="J138" s="266">
        <f t="shared" si="19"/>
        <v>0.02433894231</v>
      </c>
      <c r="K138" s="291">
        <f t="shared" si="15"/>
        <v>24.33894231</v>
      </c>
      <c r="L138" s="268">
        <f t="shared" si="16"/>
        <v>0.6153846154</v>
      </c>
      <c r="M138" s="11">
        <f>1/COUTMAX*(E138/2-C138)*1000</f>
        <v>0.361497076</v>
      </c>
      <c r="N138" s="289">
        <f t="shared" si="17"/>
        <v>0.03853665865</v>
      </c>
      <c r="O138" s="11">
        <f t="shared" si="18"/>
        <v>14.25</v>
      </c>
      <c r="P138" s="11">
        <f>(A138-B138)*(Equations!$G$69*$Q$121+C138)</f>
        <v>17.53846154</v>
      </c>
      <c r="Q138" s="11">
        <f>(A138-B138)*(Equations!$G$69*$R$121+C138)</f>
        <v>10.96153846</v>
      </c>
      <c r="R138" s="11"/>
      <c r="S138" s="11"/>
      <c r="T138" s="11"/>
      <c r="U138" s="11"/>
      <c r="V138" s="11"/>
      <c r="W138" s="11"/>
      <c r="X138" s="295"/>
      <c r="Y138" s="295"/>
      <c r="Z138" s="11"/>
      <c r="AA138" s="11"/>
      <c r="AB138" s="11"/>
      <c r="AC138" s="11"/>
    </row>
    <row r="139" ht="12.0" customHeight="1">
      <c r="A139" s="11">
        <f>VINMAX</f>
        <v>30</v>
      </c>
      <c r="B139" s="292">
        <f>VINMAX*((ROW()-129)/104)</f>
        <v>2.884615385</v>
      </c>
      <c r="C139" s="267">
        <f t="shared" si="11"/>
        <v>0.2</v>
      </c>
      <c r="D139" s="262">
        <f>B121</f>
        <v>70.4</v>
      </c>
      <c r="E139" s="252">
        <f t="shared" si="12"/>
        <v>2.596312057</v>
      </c>
      <c r="F139" s="267">
        <f>Equations!$G$69+C139</f>
        <v>0.52</v>
      </c>
      <c r="G139" s="267">
        <f t="shared" si="13"/>
        <v>0.52</v>
      </c>
      <c r="H139" s="267">
        <f t="shared" si="14"/>
        <v>0.32</v>
      </c>
      <c r="I139" s="266">
        <f>(COUTMAX/1000000)*(B139-B138)/H139</f>
        <v>0.002704326923</v>
      </c>
      <c r="J139" s="266">
        <f t="shared" si="19"/>
        <v>0.02704326923</v>
      </c>
      <c r="K139" s="291">
        <f t="shared" si="15"/>
        <v>27.04326923</v>
      </c>
      <c r="L139" s="268">
        <f t="shared" si="16"/>
        <v>0.6153846154</v>
      </c>
      <c r="M139" s="11">
        <f>1/COUTMAX*(E139/2-C139)*1000</f>
        <v>0.3660520095</v>
      </c>
      <c r="N139" s="289">
        <f t="shared" si="17"/>
        <v>0.03813100962</v>
      </c>
      <c r="O139" s="11">
        <f t="shared" si="18"/>
        <v>14.1</v>
      </c>
      <c r="P139" s="11">
        <f>(A139-B139)*(Equations!$G$69*$Q$121+C139)</f>
        <v>17.35384615</v>
      </c>
      <c r="Q139" s="11">
        <f>(A139-B139)*(Equations!$G$69*$R$121+C139)</f>
        <v>10.84615385</v>
      </c>
      <c r="R139" s="11"/>
      <c r="S139" s="11"/>
      <c r="T139" s="11"/>
      <c r="U139" s="11"/>
      <c r="V139" s="11"/>
      <c r="W139" s="11"/>
      <c r="X139" s="295" t="s">
        <v>791</v>
      </c>
      <c r="Y139" s="295">
        <v>0.2</v>
      </c>
      <c r="Z139" s="11"/>
      <c r="AA139" s="11"/>
      <c r="AB139" s="11"/>
      <c r="AC139" s="11"/>
    </row>
    <row r="140" ht="12.0" customHeight="1">
      <c r="A140" s="11">
        <f>VINMAX</f>
        <v>30</v>
      </c>
      <c r="B140" s="292">
        <f>VINMAX*((ROW()-129)/104)</f>
        <v>3.173076923</v>
      </c>
      <c r="C140" s="267">
        <f t="shared" si="11"/>
        <v>0.2</v>
      </c>
      <c r="D140" s="262">
        <f>B121</f>
        <v>70.4</v>
      </c>
      <c r="E140" s="252">
        <f t="shared" si="12"/>
        <v>2.624229391</v>
      </c>
      <c r="F140" s="267">
        <f>Equations!$G$69+C140</f>
        <v>0.52</v>
      </c>
      <c r="G140" s="267">
        <f t="shared" si="13"/>
        <v>0.52</v>
      </c>
      <c r="H140" s="267">
        <f t="shared" si="14"/>
        <v>0.32</v>
      </c>
      <c r="I140" s="266">
        <f>(COUTMAX/1000000)*(B140-B139)/H140</f>
        <v>0.002704326923</v>
      </c>
      <c r="J140" s="266">
        <f t="shared" si="19"/>
        <v>0.02974759615</v>
      </c>
      <c r="K140" s="291">
        <f t="shared" si="15"/>
        <v>29.74759615</v>
      </c>
      <c r="L140" s="268">
        <f t="shared" si="16"/>
        <v>0.6153846154</v>
      </c>
      <c r="M140" s="11">
        <f>1/COUTMAX*(E140/2-C140)*1000</f>
        <v>0.3707048984</v>
      </c>
      <c r="N140" s="289">
        <f t="shared" si="17"/>
        <v>0.03772536058</v>
      </c>
      <c r="O140" s="11">
        <f t="shared" si="18"/>
        <v>13.95</v>
      </c>
      <c r="P140" s="11">
        <f>(A140-B140)*(Equations!$G$69*$Q$121+C140)</f>
        <v>17.16923077</v>
      </c>
      <c r="Q140" s="11">
        <f>(A140-B140)*(Equations!$G$69*$R$121+C140)</f>
        <v>10.73076923</v>
      </c>
      <c r="R140" s="11"/>
      <c r="S140" s="11"/>
      <c r="T140" s="11"/>
      <c r="U140" s="11"/>
      <c r="V140" s="11"/>
      <c r="W140" s="11"/>
      <c r="X140" s="295" t="s">
        <v>792</v>
      </c>
      <c r="Y140" s="295">
        <v>0.2</v>
      </c>
      <c r="Z140" s="11"/>
      <c r="AA140" s="11"/>
      <c r="AB140" s="11"/>
      <c r="AC140" s="11"/>
    </row>
    <row r="141" ht="12.0" customHeight="1">
      <c r="A141" s="11">
        <f>VINMAX</f>
        <v>30</v>
      </c>
      <c r="B141" s="292">
        <f>VINMAX*((ROW()-129)/104)</f>
        <v>3.461538462</v>
      </c>
      <c r="C141" s="267">
        <f t="shared" si="11"/>
        <v>0.2</v>
      </c>
      <c r="D141" s="262">
        <f>B121</f>
        <v>70.4</v>
      </c>
      <c r="E141" s="252">
        <f t="shared" si="12"/>
        <v>2.652753623</v>
      </c>
      <c r="F141" s="267">
        <f>Equations!$G$69+C141</f>
        <v>0.52</v>
      </c>
      <c r="G141" s="267">
        <f t="shared" si="13"/>
        <v>0.52</v>
      </c>
      <c r="H141" s="267">
        <f t="shared" si="14"/>
        <v>0.32</v>
      </c>
      <c r="I141" s="266">
        <f>(COUTMAX/1000000)*(B141-B140)/H141</f>
        <v>0.002704326923</v>
      </c>
      <c r="J141" s="266">
        <f t="shared" si="19"/>
        <v>0.03245192308</v>
      </c>
      <c r="K141" s="291">
        <f t="shared" si="15"/>
        <v>32.45192308</v>
      </c>
      <c r="L141" s="268">
        <f t="shared" si="16"/>
        <v>0.6153846154</v>
      </c>
      <c r="M141" s="11">
        <f>1/COUTMAX*(E141/2-C141)*1000</f>
        <v>0.3754589372</v>
      </c>
      <c r="N141" s="289">
        <f t="shared" si="17"/>
        <v>0.03731971154</v>
      </c>
      <c r="O141" s="11">
        <f t="shared" si="18"/>
        <v>13.8</v>
      </c>
      <c r="P141" s="11">
        <f>(A141-B141)*(Equations!$G$69*$Q$121+C141)</f>
        <v>16.98461538</v>
      </c>
      <c r="Q141" s="11">
        <f>(A141-B141)*(Equations!$G$69*$R$121+C141)</f>
        <v>10.61538462</v>
      </c>
      <c r="R141" s="11"/>
      <c r="S141" s="11"/>
      <c r="T141" s="11"/>
      <c r="U141" s="11"/>
      <c r="V141" s="11"/>
      <c r="W141" s="11"/>
      <c r="X141" s="295" t="s">
        <v>789</v>
      </c>
      <c r="Y141" s="295">
        <f>SQRT(Y140^2+Y139^2)</f>
        <v>0.2828427125</v>
      </c>
      <c r="Z141" s="11"/>
      <c r="AA141" s="11"/>
      <c r="AB141" s="11"/>
      <c r="AC141" s="11"/>
    </row>
    <row r="142" ht="12.0" customHeight="1">
      <c r="A142" s="11">
        <f>VINMAX</f>
        <v>30</v>
      </c>
      <c r="B142" s="292">
        <f>VINMAX*((ROW()-129)/104)</f>
        <v>3.75</v>
      </c>
      <c r="C142" s="267">
        <f t="shared" si="11"/>
        <v>0.2</v>
      </c>
      <c r="D142" s="262">
        <f>B121</f>
        <v>70.4</v>
      </c>
      <c r="E142" s="252">
        <f t="shared" si="12"/>
        <v>2.681904762</v>
      </c>
      <c r="F142" s="267">
        <f>Equations!$G$69+C142</f>
        <v>0.52</v>
      </c>
      <c r="G142" s="267">
        <f t="shared" si="13"/>
        <v>0.52</v>
      </c>
      <c r="H142" s="267">
        <f t="shared" si="14"/>
        <v>0.32</v>
      </c>
      <c r="I142" s="266">
        <f>(COUTMAX/1000000)*(B142-B141)/H142</f>
        <v>0.002704326923</v>
      </c>
      <c r="J142" s="266">
        <f t="shared" si="19"/>
        <v>0.03515625</v>
      </c>
      <c r="K142" s="291">
        <f t="shared" si="15"/>
        <v>35.15625</v>
      </c>
      <c r="L142" s="268">
        <f t="shared" si="16"/>
        <v>0.6153846154</v>
      </c>
      <c r="M142" s="11">
        <f>1/COUTMAX*(E142/2-C142)*1000</f>
        <v>0.3803174603</v>
      </c>
      <c r="N142" s="289">
        <f t="shared" si="17"/>
        <v>0.0369140625</v>
      </c>
      <c r="O142" s="11">
        <f t="shared" si="18"/>
        <v>13.65</v>
      </c>
      <c r="P142" s="11">
        <f>(A142-B142)*(Equations!$G$69*$Q$121+C142)</f>
        <v>16.8</v>
      </c>
      <c r="Q142" s="11">
        <f>(A142-B142)*(Equations!$G$69*$R$121+C142)</f>
        <v>10.5</v>
      </c>
      <c r="R142" s="11"/>
      <c r="S142" s="11"/>
      <c r="T142" s="11"/>
      <c r="U142" s="11"/>
      <c r="V142" s="11"/>
      <c r="W142" s="11"/>
      <c r="X142" s="295"/>
      <c r="Y142" s="295"/>
      <c r="Z142" s="11"/>
      <c r="AA142" s="11"/>
      <c r="AB142" s="11"/>
      <c r="AC142" s="11"/>
    </row>
    <row r="143" ht="12.0" customHeight="1">
      <c r="A143" s="11">
        <f>VINMAX</f>
        <v>30</v>
      </c>
      <c r="B143" s="292">
        <f>VINMAX*((ROW()-129)/104)</f>
        <v>4.038461538</v>
      </c>
      <c r="C143" s="267">
        <f t="shared" si="11"/>
        <v>0.2</v>
      </c>
      <c r="D143" s="262">
        <f>B121</f>
        <v>70.4</v>
      </c>
      <c r="E143" s="252">
        <f t="shared" si="12"/>
        <v>2.711703704</v>
      </c>
      <c r="F143" s="267">
        <f>Equations!$G$69+C143</f>
        <v>0.52</v>
      </c>
      <c r="G143" s="267">
        <f t="shared" si="13"/>
        <v>0.52</v>
      </c>
      <c r="H143" s="267">
        <f t="shared" si="14"/>
        <v>0.32</v>
      </c>
      <c r="I143" s="266">
        <f>(COUTMAX/1000000)*(B143-B142)/H143</f>
        <v>0.002704326923</v>
      </c>
      <c r="J143" s="266">
        <f t="shared" si="19"/>
        <v>0.03786057692</v>
      </c>
      <c r="K143" s="291">
        <f t="shared" si="15"/>
        <v>37.86057692</v>
      </c>
      <c r="L143" s="268">
        <f t="shared" si="16"/>
        <v>0.6153846154</v>
      </c>
      <c r="M143" s="11">
        <f>1/COUTMAX*(E143/2-C143)*1000</f>
        <v>0.3852839506</v>
      </c>
      <c r="N143" s="289">
        <f t="shared" si="17"/>
        <v>0.03650841346</v>
      </c>
      <c r="O143" s="11">
        <f t="shared" si="18"/>
        <v>13.5</v>
      </c>
      <c r="P143" s="11">
        <f>(A143-B143)*(Equations!$G$69*$Q$121+C143)</f>
        <v>16.61538462</v>
      </c>
      <c r="Q143" s="11">
        <f>(A143-B143)*(Equations!$G$69*$R$121+C143)</f>
        <v>10.38461538</v>
      </c>
      <c r="R143" s="11"/>
      <c r="S143" s="11"/>
      <c r="T143" s="11"/>
      <c r="U143" s="11"/>
      <c r="V143" s="11"/>
      <c r="W143" s="11"/>
      <c r="X143" s="295" t="s">
        <v>793</v>
      </c>
      <c r="Y143" s="295">
        <f>SQRT(Y137^2+Y141^2)</f>
        <v>0.5099019514</v>
      </c>
      <c r="Z143" s="11"/>
      <c r="AA143" s="11"/>
      <c r="AB143" s="11"/>
      <c r="AC143" s="11"/>
    </row>
    <row r="144" ht="12.0" customHeight="1">
      <c r="A144" s="11">
        <f>VINMAX</f>
        <v>30</v>
      </c>
      <c r="B144" s="292">
        <f>VINMAX*((ROW()-129)/104)</f>
        <v>4.326923077</v>
      </c>
      <c r="C144" s="267">
        <f t="shared" si="11"/>
        <v>0.2</v>
      </c>
      <c r="D144" s="262">
        <f>B121</f>
        <v>70.4</v>
      </c>
      <c r="E144" s="252">
        <f t="shared" si="12"/>
        <v>2.742172285</v>
      </c>
      <c r="F144" s="267">
        <f>Equations!$G$69+C144</f>
        <v>0.52</v>
      </c>
      <c r="G144" s="267">
        <f t="shared" si="13"/>
        <v>0.52</v>
      </c>
      <c r="H144" s="267">
        <f t="shared" si="14"/>
        <v>0.32</v>
      </c>
      <c r="I144" s="266">
        <f>(COUTMAX/1000000)*(B144-B143)/H144</f>
        <v>0.002704326923</v>
      </c>
      <c r="J144" s="266">
        <f t="shared" si="19"/>
        <v>0.04056490385</v>
      </c>
      <c r="K144" s="291">
        <f t="shared" si="15"/>
        <v>40.56490385</v>
      </c>
      <c r="L144" s="268">
        <f t="shared" si="16"/>
        <v>0.6153846154</v>
      </c>
      <c r="M144" s="11">
        <f>1/COUTMAX*(E144/2-C144)*1000</f>
        <v>0.3903620474</v>
      </c>
      <c r="N144" s="289">
        <f t="shared" si="17"/>
        <v>0.03610276442</v>
      </c>
      <c r="O144" s="11">
        <f t="shared" si="18"/>
        <v>13.35</v>
      </c>
      <c r="P144" s="11">
        <f>(A144-B144)*(Equations!$G$69*$Q$121+C144)</f>
        <v>16.43076923</v>
      </c>
      <c r="Q144" s="11">
        <f>(A144-B144)*(Equations!$G$69*$R$121+C144)</f>
        <v>10.26923077</v>
      </c>
      <c r="R144" s="11"/>
      <c r="S144" s="11"/>
      <c r="T144" s="11"/>
      <c r="U144" s="11"/>
      <c r="V144" s="11"/>
      <c r="W144" s="11"/>
      <c r="X144" s="11"/>
      <c r="Y144" s="11"/>
      <c r="Z144" s="11"/>
      <c r="AA144" s="11"/>
      <c r="AB144" s="11"/>
      <c r="AC144" s="11"/>
    </row>
    <row r="145" ht="12.0" customHeight="1">
      <c r="A145" s="11">
        <f>VINMAX</f>
        <v>30</v>
      </c>
      <c r="B145" s="292">
        <f>VINMAX*((ROW()-129)/104)</f>
        <v>4.615384615</v>
      </c>
      <c r="C145" s="267">
        <f t="shared" si="11"/>
        <v>0.2</v>
      </c>
      <c r="D145" s="262">
        <f>B121</f>
        <v>70.4</v>
      </c>
      <c r="E145" s="252">
        <f t="shared" si="12"/>
        <v>2.773333333</v>
      </c>
      <c r="F145" s="267">
        <f>Equations!$G$69+C145</f>
        <v>0.52</v>
      </c>
      <c r="G145" s="267">
        <f t="shared" si="13"/>
        <v>0.52</v>
      </c>
      <c r="H145" s="267">
        <f t="shared" si="14"/>
        <v>0.32</v>
      </c>
      <c r="I145" s="266">
        <f>(COUTMAX/1000000)*(B145-B144)/H145</f>
        <v>0.002704326923</v>
      </c>
      <c r="J145" s="266">
        <f t="shared" si="19"/>
        <v>0.04326923077</v>
      </c>
      <c r="K145" s="291">
        <f t="shared" si="15"/>
        <v>43.26923077</v>
      </c>
      <c r="L145" s="268">
        <f t="shared" si="16"/>
        <v>0.6153846154</v>
      </c>
      <c r="M145" s="11">
        <f>1/COUTMAX*(E145/2-C145)*1000</f>
        <v>0.3955555556</v>
      </c>
      <c r="N145" s="289">
        <f t="shared" si="17"/>
        <v>0.03569711538</v>
      </c>
      <c r="O145" s="11">
        <f t="shared" si="18"/>
        <v>13.2</v>
      </c>
      <c r="P145" s="11">
        <f>(A145-B145)*(Equations!$G$69*$Q$121+C145)</f>
        <v>16.24615385</v>
      </c>
      <c r="Q145" s="11">
        <f>(A145-B145)*(Equations!$G$69*$R$121+C145)</f>
        <v>10.15384615</v>
      </c>
      <c r="R145" s="11"/>
      <c r="S145" s="11"/>
      <c r="T145" s="11"/>
      <c r="U145" s="11"/>
      <c r="V145" s="11"/>
      <c r="W145" s="11"/>
      <c r="X145" s="11"/>
      <c r="Y145" s="11"/>
      <c r="Z145" s="11"/>
      <c r="AA145" s="11"/>
      <c r="AB145" s="11"/>
      <c r="AC145" s="11"/>
    </row>
    <row r="146" ht="12.0" customHeight="1">
      <c r="A146" s="11">
        <f>VINMAX</f>
        <v>30</v>
      </c>
      <c r="B146" s="292">
        <f>VINMAX*((ROW()-129)/104)</f>
        <v>4.903846154</v>
      </c>
      <c r="C146" s="267">
        <f t="shared" si="11"/>
        <v>0.2</v>
      </c>
      <c r="D146" s="262">
        <f>B121</f>
        <v>70.4</v>
      </c>
      <c r="E146" s="252">
        <f t="shared" si="12"/>
        <v>2.805210728</v>
      </c>
      <c r="F146" s="267">
        <f>Equations!$G$69+C146</f>
        <v>0.52</v>
      </c>
      <c r="G146" s="267">
        <f t="shared" si="13"/>
        <v>0.52</v>
      </c>
      <c r="H146" s="267">
        <f t="shared" si="14"/>
        <v>0.32</v>
      </c>
      <c r="I146" s="266">
        <f>(COUTMAX/1000000)*(B146-B145)/H146</f>
        <v>0.002704326923</v>
      </c>
      <c r="J146" s="266">
        <f t="shared" si="19"/>
        <v>0.04597355769</v>
      </c>
      <c r="K146" s="291">
        <f t="shared" si="15"/>
        <v>45.97355769</v>
      </c>
      <c r="L146" s="268">
        <f t="shared" si="16"/>
        <v>0.6153846154</v>
      </c>
      <c r="M146" s="11">
        <f>1/COUTMAX*(E146/2-C146)*1000</f>
        <v>0.4008684547</v>
      </c>
      <c r="N146" s="289">
        <f t="shared" si="17"/>
        <v>0.03529146635</v>
      </c>
      <c r="O146" s="11">
        <f t="shared" si="18"/>
        <v>13.05</v>
      </c>
      <c r="P146" s="11">
        <f>(A146-B146)*(Equations!$G$69*$Q$121+C146)</f>
        <v>16.06153846</v>
      </c>
      <c r="Q146" s="11">
        <f>(A146-B146)*(Equations!$G$69*$R$121+C146)</f>
        <v>10.03846154</v>
      </c>
      <c r="R146" s="11"/>
      <c r="S146" s="11"/>
      <c r="T146" s="11"/>
      <c r="U146" s="11"/>
      <c r="V146" s="11"/>
      <c r="W146" s="11"/>
      <c r="X146" s="11"/>
      <c r="Y146" s="11"/>
      <c r="Z146" s="11"/>
      <c r="AA146" s="11"/>
      <c r="AB146" s="11"/>
      <c r="AC146" s="11"/>
    </row>
    <row r="147" ht="12.0" customHeight="1">
      <c r="A147" s="11">
        <f>VINMAX</f>
        <v>30</v>
      </c>
      <c r="B147" s="292">
        <f>VINMAX*((ROW()-129)/104)</f>
        <v>5.192307692</v>
      </c>
      <c r="C147" s="267">
        <f t="shared" si="11"/>
        <v>0.2</v>
      </c>
      <c r="D147" s="262">
        <f>B121</f>
        <v>70.4</v>
      </c>
      <c r="E147" s="252">
        <f t="shared" si="12"/>
        <v>2.837829457</v>
      </c>
      <c r="F147" s="267">
        <f>Equations!$G$69+C147</f>
        <v>0.52</v>
      </c>
      <c r="G147" s="267">
        <f t="shared" si="13"/>
        <v>0.52</v>
      </c>
      <c r="H147" s="267">
        <f t="shared" si="14"/>
        <v>0.32</v>
      </c>
      <c r="I147" s="266">
        <f>(COUTMAX/1000000)*(B147-B146)/H147</f>
        <v>0.002704326923</v>
      </c>
      <c r="J147" s="266">
        <f t="shared" si="19"/>
        <v>0.04867788462</v>
      </c>
      <c r="K147" s="291">
        <f t="shared" si="15"/>
        <v>48.67788462</v>
      </c>
      <c r="L147" s="268">
        <f t="shared" si="16"/>
        <v>0.6153846154</v>
      </c>
      <c r="M147" s="11">
        <f>1/COUTMAX*(E147/2-C147)*1000</f>
        <v>0.4063049096</v>
      </c>
      <c r="N147" s="289">
        <f t="shared" si="17"/>
        <v>0.03488581731</v>
      </c>
      <c r="O147" s="11">
        <f t="shared" si="18"/>
        <v>12.9</v>
      </c>
      <c r="P147" s="11">
        <f>(A147-B147)*(Equations!$G$69*$Q$121+C147)</f>
        <v>15.87692308</v>
      </c>
      <c r="Q147" s="11">
        <f>(A147-B147)*(Equations!$G$69*$R$121+C147)</f>
        <v>9.923076923</v>
      </c>
      <c r="R147" s="11"/>
      <c r="S147" s="11"/>
      <c r="T147" s="11"/>
      <c r="U147" s="11"/>
      <c r="V147" s="11"/>
      <c r="W147" s="11"/>
      <c r="X147" s="11"/>
      <c r="Y147" s="11"/>
      <c r="Z147" s="11"/>
      <c r="AA147" s="11"/>
      <c r="AB147" s="11"/>
      <c r="AC147" s="11"/>
    </row>
    <row r="148" ht="12.0" customHeight="1">
      <c r="A148" s="11">
        <f>VINMAX</f>
        <v>30</v>
      </c>
      <c r="B148" s="292">
        <f>VINMAX*((ROW()-129)/104)</f>
        <v>5.480769231</v>
      </c>
      <c r="C148" s="267">
        <f t="shared" si="11"/>
        <v>0.2</v>
      </c>
      <c r="D148" s="262">
        <f>B121</f>
        <v>70.4</v>
      </c>
      <c r="E148" s="252">
        <f t="shared" si="12"/>
        <v>2.871215686</v>
      </c>
      <c r="F148" s="267">
        <f>Equations!$G$69+C148</f>
        <v>0.52</v>
      </c>
      <c r="G148" s="267">
        <f t="shared" si="13"/>
        <v>0.52</v>
      </c>
      <c r="H148" s="267">
        <f t="shared" si="14"/>
        <v>0.32</v>
      </c>
      <c r="I148" s="266">
        <f>(COUTMAX/1000000)*(B148-B147)/H148</f>
        <v>0.002704326923</v>
      </c>
      <c r="J148" s="266">
        <f t="shared" si="19"/>
        <v>0.05138221154</v>
      </c>
      <c r="K148" s="291">
        <f t="shared" si="15"/>
        <v>51.38221154</v>
      </c>
      <c r="L148" s="268">
        <f t="shared" si="16"/>
        <v>0.6153846154</v>
      </c>
      <c r="M148" s="11">
        <f>1/COUTMAX*(E148/2-C148)*1000</f>
        <v>0.411869281</v>
      </c>
      <c r="N148" s="289">
        <f t="shared" si="17"/>
        <v>0.03448016827</v>
      </c>
      <c r="O148" s="11">
        <f t="shared" si="18"/>
        <v>12.75</v>
      </c>
      <c r="P148" s="11">
        <f>(A148-B148)*(Equations!$G$69*$Q$121+C148)</f>
        <v>15.69230769</v>
      </c>
      <c r="Q148" s="11">
        <f>(A148-B148)*(Equations!$G$69*$R$121+C148)</f>
        <v>9.807692308</v>
      </c>
      <c r="R148" s="11"/>
      <c r="S148" s="11"/>
      <c r="T148" s="11"/>
      <c r="U148" s="11"/>
      <c r="V148" s="11"/>
      <c r="W148" s="11"/>
      <c r="X148" s="11"/>
      <c r="Y148" s="11"/>
      <c r="Z148" s="11"/>
      <c r="AA148" s="11"/>
      <c r="AB148" s="11"/>
      <c r="AC148" s="11"/>
    </row>
    <row r="149" ht="12.0" customHeight="1">
      <c r="A149" s="11">
        <f>VINMAX</f>
        <v>30</v>
      </c>
      <c r="B149" s="292">
        <f>VINMAX*((ROW()-129)/104)</f>
        <v>5.769230769</v>
      </c>
      <c r="C149" s="267">
        <f t="shared" si="11"/>
        <v>0.2</v>
      </c>
      <c r="D149" s="262">
        <f>B121</f>
        <v>70.4</v>
      </c>
      <c r="E149" s="252">
        <f t="shared" si="12"/>
        <v>2.905396825</v>
      </c>
      <c r="F149" s="267">
        <f>Equations!$G$69+C149</f>
        <v>0.52</v>
      </c>
      <c r="G149" s="267">
        <f t="shared" si="13"/>
        <v>0.52</v>
      </c>
      <c r="H149" s="267">
        <f t="shared" si="14"/>
        <v>0.32</v>
      </c>
      <c r="I149" s="266">
        <f>(COUTMAX/1000000)*(B149-B148)/H149</f>
        <v>0.002704326923</v>
      </c>
      <c r="J149" s="266">
        <f t="shared" si="19"/>
        <v>0.05408653846</v>
      </c>
      <c r="K149" s="291">
        <f t="shared" si="15"/>
        <v>54.08653846</v>
      </c>
      <c r="L149" s="268">
        <f t="shared" si="16"/>
        <v>0.6153846154</v>
      </c>
      <c r="M149" s="11">
        <f>1/COUTMAX*(E149/2-C149)*1000</f>
        <v>0.4175661376</v>
      </c>
      <c r="N149" s="289">
        <f t="shared" si="17"/>
        <v>0.03407451923</v>
      </c>
      <c r="O149" s="11">
        <f t="shared" si="18"/>
        <v>12.6</v>
      </c>
      <c r="P149" s="11">
        <f>(A149-B149)*(Equations!$G$69*$Q$121+C149)</f>
        <v>15.50769231</v>
      </c>
      <c r="Q149" s="11">
        <f>(A149-B149)*(Equations!$G$69*$R$121+C149)</f>
        <v>9.692307692</v>
      </c>
      <c r="R149" s="11"/>
      <c r="S149" s="11"/>
      <c r="T149" s="11"/>
      <c r="U149" s="11"/>
      <c r="V149" s="11"/>
      <c r="W149" s="11"/>
      <c r="X149" s="11"/>
      <c r="Y149" s="11"/>
      <c r="Z149" s="11"/>
      <c r="AA149" s="11"/>
      <c r="AB149" s="11"/>
      <c r="AC149" s="11"/>
    </row>
    <row r="150" ht="12.0" customHeight="1">
      <c r="A150" s="11">
        <f>VINMAX</f>
        <v>30</v>
      </c>
      <c r="B150" s="292">
        <f>VINMAX*((ROW()-129)/104)</f>
        <v>6.057692308</v>
      </c>
      <c r="C150" s="267">
        <f t="shared" si="11"/>
        <v>0.2</v>
      </c>
      <c r="D150" s="262">
        <f>B121</f>
        <v>70.4</v>
      </c>
      <c r="E150" s="252">
        <f t="shared" si="12"/>
        <v>2.940401606</v>
      </c>
      <c r="F150" s="267">
        <f>Equations!$G$69+C150</f>
        <v>0.52</v>
      </c>
      <c r="G150" s="267">
        <f t="shared" si="13"/>
        <v>0.52</v>
      </c>
      <c r="H150" s="267">
        <f t="shared" si="14"/>
        <v>0.32</v>
      </c>
      <c r="I150" s="266">
        <f>(COUTMAX/1000000)*(B150-B149)/H150</f>
        <v>0.002704326923</v>
      </c>
      <c r="J150" s="266">
        <f t="shared" si="19"/>
        <v>0.05679086538</v>
      </c>
      <c r="K150" s="291">
        <f t="shared" si="15"/>
        <v>56.79086538</v>
      </c>
      <c r="L150" s="268">
        <f t="shared" si="16"/>
        <v>0.6153846154</v>
      </c>
      <c r="M150" s="11">
        <f>1/COUTMAX*(E150/2-C150)*1000</f>
        <v>0.4234002677</v>
      </c>
      <c r="N150" s="289">
        <f t="shared" si="17"/>
        <v>0.03366887019</v>
      </c>
      <c r="O150" s="11">
        <f t="shared" si="18"/>
        <v>12.45</v>
      </c>
      <c r="P150" s="11">
        <f>(A150-B150)*(Equations!$G$69*$Q$121+C150)</f>
        <v>15.32307692</v>
      </c>
      <c r="Q150" s="11">
        <f>(A150-B150)*(Equations!$G$69*$R$121+C150)</f>
        <v>9.576923077</v>
      </c>
      <c r="R150" s="11"/>
      <c r="S150" s="11"/>
      <c r="T150" s="11"/>
      <c r="U150" s="11"/>
      <c r="V150" s="11"/>
      <c r="W150" s="11"/>
      <c r="X150" s="11"/>
      <c r="Y150" s="11"/>
      <c r="Z150" s="11"/>
      <c r="AA150" s="11"/>
      <c r="AB150" s="11"/>
      <c r="AC150" s="11"/>
    </row>
    <row r="151" ht="12.0" customHeight="1">
      <c r="A151" s="11">
        <f>VINMAX</f>
        <v>30</v>
      </c>
      <c r="B151" s="292">
        <f>VINMAX*((ROW()-129)/104)</f>
        <v>6.346153846</v>
      </c>
      <c r="C151" s="267">
        <f t="shared" si="11"/>
        <v>0.2</v>
      </c>
      <c r="D151" s="262">
        <f>B121</f>
        <v>70.4</v>
      </c>
      <c r="E151" s="252">
        <f t="shared" si="12"/>
        <v>2.976260163</v>
      </c>
      <c r="F151" s="267">
        <f>Equations!$G$69+C151</f>
        <v>0.52</v>
      </c>
      <c r="G151" s="267">
        <f t="shared" si="13"/>
        <v>0.52</v>
      </c>
      <c r="H151" s="267">
        <f t="shared" si="14"/>
        <v>0.32</v>
      </c>
      <c r="I151" s="266">
        <f>(COUTMAX/1000000)*(B151-B150)/H151</f>
        <v>0.002704326923</v>
      </c>
      <c r="J151" s="266">
        <f t="shared" si="19"/>
        <v>0.05949519231</v>
      </c>
      <c r="K151" s="291">
        <f t="shared" si="15"/>
        <v>59.49519231</v>
      </c>
      <c r="L151" s="268">
        <f t="shared" si="16"/>
        <v>0.6153846154</v>
      </c>
      <c r="M151" s="11">
        <f>1/COUTMAX*(E151/2-C151)*1000</f>
        <v>0.4293766938</v>
      </c>
      <c r="N151" s="289">
        <f t="shared" si="17"/>
        <v>0.03326322115</v>
      </c>
      <c r="O151" s="11">
        <f t="shared" si="18"/>
        <v>12.3</v>
      </c>
      <c r="P151" s="11">
        <f>(A151-B151)*(Equations!$G$69*$Q$121+C151)</f>
        <v>15.13846154</v>
      </c>
      <c r="Q151" s="11">
        <f>(A151-B151)*(Equations!$G$69*$R$121+C151)</f>
        <v>9.461538462</v>
      </c>
      <c r="R151" s="11"/>
      <c r="S151" s="11"/>
      <c r="T151" s="11"/>
      <c r="U151" s="11"/>
      <c r="V151" s="11"/>
      <c r="W151" s="11"/>
      <c r="X151" s="11"/>
      <c r="Y151" s="11"/>
      <c r="Z151" s="11"/>
      <c r="AA151" s="11"/>
      <c r="AB151" s="11"/>
      <c r="AC151" s="11"/>
    </row>
    <row r="152" ht="12.0" customHeight="1">
      <c r="A152" s="11">
        <f>VINMAX</f>
        <v>30</v>
      </c>
      <c r="B152" s="292">
        <f>VINMAX*((ROW()-129)/104)</f>
        <v>6.634615385</v>
      </c>
      <c r="C152" s="267">
        <f t="shared" si="11"/>
        <v>0.2</v>
      </c>
      <c r="D152" s="262">
        <f>B121</f>
        <v>70.4</v>
      </c>
      <c r="E152" s="252">
        <f t="shared" si="12"/>
        <v>3.013004115</v>
      </c>
      <c r="F152" s="267">
        <f>Equations!$G$69+C152</f>
        <v>0.52</v>
      </c>
      <c r="G152" s="267">
        <f t="shared" si="13"/>
        <v>0.52</v>
      </c>
      <c r="H152" s="267">
        <f t="shared" si="14"/>
        <v>0.32</v>
      </c>
      <c r="I152" s="266">
        <f>(COUTMAX/1000000)*(B152-B151)/H152</f>
        <v>0.002704326923</v>
      </c>
      <c r="J152" s="266">
        <f t="shared" si="19"/>
        <v>0.06219951923</v>
      </c>
      <c r="K152" s="291">
        <f t="shared" si="15"/>
        <v>62.19951923</v>
      </c>
      <c r="L152" s="268">
        <f t="shared" si="16"/>
        <v>0.6153846154</v>
      </c>
      <c r="M152" s="11">
        <f>1/COUTMAX*(E152/2-C152)*1000</f>
        <v>0.4355006859</v>
      </c>
      <c r="N152" s="289">
        <f t="shared" si="17"/>
        <v>0.03285757212</v>
      </c>
      <c r="O152" s="11">
        <f t="shared" si="18"/>
        <v>12.15</v>
      </c>
      <c r="P152" s="11">
        <f>(A152-B152)*(Equations!$G$69*$Q$121+C152)</f>
        <v>14.95384615</v>
      </c>
      <c r="Q152" s="11">
        <f>(A152-B152)*(Equations!$G$69*$R$121+C152)</f>
        <v>9.346153846</v>
      </c>
      <c r="R152" s="11"/>
      <c r="S152" s="11"/>
      <c r="T152" s="11"/>
      <c r="U152" s="11"/>
      <c r="V152" s="11"/>
      <c r="W152" s="11"/>
      <c r="X152" s="11"/>
      <c r="Y152" s="11"/>
      <c r="Z152" s="11"/>
      <c r="AA152" s="11"/>
      <c r="AB152" s="11"/>
      <c r="AC152" s="11"/>
    </row>
    <row r="153" ht="12.0" customHeight="1">
      <c r="A153" s="11">
        <f>VINMAX</f>
        <v>30</v>
      </c>
      <c r="B153" s="292">
        <f>VINMAX*((ROW()-129)/104)</f>
        <v>6.923076923</v>
      </c>
      <c r="C153" s="267">
        <f t="shared" si="11"/>
        <v>0.2</v>
      </c>
      <c r="D153" s="262">
        <f>B121</f>
        <v>70.4</v>
      </c>
      <c r="E153" s="252">
        <f t="shared" si="12"/>
        <v>3.050666667</v>
      </c>
      <c r="F153" s="267">
        <f>Equations!$G$69+C153</f>
        <v>0.52</v>
      </c>
      <c r="G153" s="267">
        <f t="shared" si="13"/>
        <v>0.52</v>
      </c>
      <c r="H153" s="267">
        <f t="shared" si="14"/>
        <v>0.32</v>
      </c>
      <c r="I153" s="266">
        <f>(COUTMAX/1000000)*(B153-B152)/H153</f>
        <v>0.002704326923</v>
      </c>
      <c r="J153" s="266">
        <f t="shared" si="19"/>
        <v>0.06490384615</v>
      </c>
      <c r="K153" s="291">
        <f t="shared" si="15"/>
        <v>64.90384615</v>
      </c>
      <c r="L153" s="268">
        <f t="shared" si="16"/>
        <v>0.6153846154</v>
      </c>
      <c r="M153" s="11">
        <f>1/COUTMAX*(E153/2-C153)*1000</f>
        <v>0.4417777778</v>
      </c>
      <c r="N153" s="289">
        <f t="shared" si="17"/>
        <v>0.03245192308</v>
      </c>
      <c r="O153" s="11">
        <f t="shared" si="18"/>
        <v>12</v>
      </c>
      <c r="P153" s="11">
        <f>(A153-B153)*(Equations!$G$69*$Q$121+C153)</f>
        <v>14.76923077</v>
      </c>
      <c r="Q153" s="11">
        <f>(A153-B153)*(Equations!$G$69*$R$121+C153)</f>
        <v>9.230769231</v>
      </c>
      <c r="R153" s="11"/>
      <c r="S153" s="11"/>
      <c r="T153" s="11"/>
      <c r="U153" s="11"/>
      <c r="V153" s="11"/>
      <c r="W153" s="11"/>
      <c r="X153" s="11"/>
      <c r="Y153" s="11"/>
      <c r="Z153" s="11"/>
      <c r="AA153" s="11"/>
      <c r="AB153" s="11"/>
      <c r="AC153" s="11"/>
    </row>
    <row r="154" ht="12.0" customHeight="1">
      <c r="A154" s="11">
        <f>VINMAX</f>
        <v>30</v>
      </c>
      <c r="B154" s="292">
        <f>VINMAX*((ROW()-129)/104)</f>
        <v>7.211538462</v>
      </c>
      <c r="C154" s="267">
        <f t="shared" si="11"/>
        <v>0.2</v>
      </c>
      <c r="D154" s="262">
        <f>B121</f>
        <v>70.4</v>
      </c>
      <c r="E154" s="252">
        <f t="shared" si="12"/>
        <v>3.0892827</v>
      </c>
      <c r="F154" s="267">
        <f>Equations!$G$69+C154</f>
        <v>0.52</v>
      </c>
      <c r="G154" s="267">
        <f t="shared" si="13"/>
        <v>0.52</v>
      </c>
      <c r="H154" s="267">
        <f t="shared" si="14"/>
        <v>0.32</v>
      </c>
      <c r="I154" s="266">
        <f>(COUTMAX/1000000)*(B154-B153)/H154</f>
        <v>0.002704326923</v>
      </c>
      <c r="J154" s="266">
        <f t="shared" si="19"/>
        <v>0.06760817308</v>
      </c>
      <c r="K154" s="291">
        <f t="shared" si="15"/>
        <v>67.60817308</v>
      </c>
      <c r="L154" s="268">
        <f t="shared" si="16"/>
        <v>0.6153846154</v>
      </c>
      <c r="M154" s="11">
        <f>1/COUTMAX*(E154/2-C154)*1000</f>
        <v>0.4482137834</v>
      </c>
      <c r="N154" s="289">
        <f t="shared" si="17"/>
        <v>0.03204627404</v>
      </c>
      <c r="O154" s="11">
        <f t="shared" si="18"/>
        <v>11.85</v>
      </c>
      <c r="P154" s="11">
        <f>(A154-B154)*(Equations!$G$69*$Q$121+C154)</f>
        <v>14.58461538</v>
      </c>
      <c r="Q154" s="11">
        <f>(A154-B154)*(Equations!$G$69*$R$121+C154)</f>
        <v>9.115384615</v>
      </c>
      <c r="R154" s="11"/>
      <c r="S154" s="11"/>
      <c r="T154" s="11"/>
      <c r="U154" s="11"/>
      <c r="V154" s="11"/>
      <c r="W154" s="11"/>
      <c r="X154" s="11"/>
      <c r="Y154" s="11"/>
      <c r="Z154" s="11"/>
      <c r="AA154" s="11"/>
      <c r="AB154" s="11"/>
      <c r="AC154" s="11"/>
    </row>
    <row r="155" ht="12.0" customHeight="1">
      <c r="A155" s="11">
        <f>VINMAX</f>
        <v>30</v>
      </c>
      <c r="B155" s="292">
        <f>VINMAX*((ROW()-129)/104)</f>
        <v>7.5</v>
      </c>
      <c r="C155" s="267">
        <f t="shared" si="11"/>
        <v>0.2</v>
      </c>
      <c r="D155" s="262">
        <f>B121</f>
        <v>70.4</v>
      </c>
      <c r="E155" s="252">
        <f t="shared" si="12"/>
        <v>3.128888889</v>
      </c>
      <c r="F155" s="267">
        <f>Equations!$G$69+C155</f>
        <v>0.52</v>
      </c>
      <c r="G155" s="267">
        <f t="shared" si="13"/>
        <v>0.52</v>
      </c>
      <c r="H155" s="267">
        <f t="shared" si="14"/>
        <v>0.32</v>
      </c>
      <c r="I155" s="266">
        <f>(COUTMAX/1000000)*(B155-B154)/H155</f>
        <v>0.002704326923</v>
      </c>
      <c r="J155" s="266">
        <f t="shared" si="19"/>
        <v>0.0703125</v>
      </c>
      <c r="K155" s="291">
        <f t="shared" si="15"/>
        <v>70.3125</v>
      </c>
      <c r="L155" s="268">
        <f t="shared" si="16"/>
        <v>0.6153846154</v>
      </c>
      <c r="M155" s="11">
        <f>1/COUTMAX*(E155/2-C155)*1000</f>
        <v>0.4548148148</v>
      </c>
      <c r="N155" s="289">
        <f t="shared" si="17"/>
        <v>0.031640625</v>
      </c>
      <c r="O155" s="11">
        <f t="shared" si="18"/>
        <v>11.7</v>
      </c>
      <c r="P155" s="11">
        <f>(A155-B155)*(Equations!$G$69*$Q$121+C155)</f>
        <v>14.4</v>
      </c>
      <c r="Q155" s="11">
        <f>(A155-B155)*(Equations!$G$69*$R$121+C155)</f>
        <v>9</v>
      </c>
      <c r="R155" s="11"/>
      <c r="S155" s="11"/>
      <c r="T155" s="11"/>
      <c r="U155" s="11"/>
      <c r="V155" s="11"/>
      <c r="W155" s="11"/>
      <c r="X155" s="11"/>
      <c r="Y155" s="11"/>
      <c r="Z155" s="11"/>
      <c r="AA155" s="11"/>
      <c r="AB155" s="11"/>
      <c r="AC155" s="11"/>
    </row>
    <row r="156" ht="12.0" customHeight="1">
      <c r="A156" s="11">
        <f>VINMAX</f>
        <v>30</v>
      </c>
      <c r="B156" s="292">
        <f>VINMAX*((ROW()-129)/104)</f>
        <v>7.788461538</v>
      </c>
      <c r="C156" s="267">
        <f t="shared" si="11"/>
        <v>0.2</v>
      </c>
      <c r="D156" s="262">
        <f>B121</f>
        <v>70.4</v>
      </c>
      <c r="E156" s="252">
        <f t="shared" si="12"/>
        <v>3.16952381</v>
      </c>
      <c r="F156" s="267">
        <f>Equations!$G$69+C156</f>
        <v>0.52</v>
      </c>
      <c r="G156" s="267">
        <f t="shared" si="13"/>
        <v>0.52</v>
      </c>
      <c r="H156" s="267">
        <f t="shared" si="14"/>
        <v>0.32</v>
      </c>
      <c r="I156" s="266">
        <f>(COUTMAX/1000000)*(B156-B155)/H156</f>
        <v>0.002704326923</v>
      </c>
      <c r="J156" s="266">
        <f t="shared" si="19"/>
        <v>0.07301682692</v>
      </c>
      <c r="K156" s="291">
        <f t="shared" si="15"/>
        <v>73.01682692</v>
      </c>
      <c r="L156" s="268">
        <f t="shared" si="16"/>
        <v>0.6153846154</v>
      </c>
      <c r="M156" s="11">
        <f>1/COUTMAX*(E156/2-C156)*1000</f>
        <v>0.4615873016</v>
      </c>
      <c r="N156" s="289">
        <f t="shared" si="17"/>
        <v>0.03123497596</v>
      </c>
      <c r="O156" s="11">
        <f t="shared" si="18"/>
        <v>11.55</v>
      </c>
      <c r="P156" s="11">
        <f>(A156-B156)*(Equations!$G$69*$Q$121+C156)</f>
        <v>14.21538462</v>
      </c>
      <c r="Q156" s="11">
        <f>(A156-B156)*(Equations!$G$69*$R$121+C156)</f>
        <v>8.884615385</v>
      </c>
      <c r="R156" s="11"/>
      <c r="S156" s="11"/>
      <c r="T156" s="11"/>
      <c r="U156" s="11"/>
      <c r="V156" s="11"/>
      <c r="W156" s="11"/>
      <c r="X156" s="11"/>
      <c r="Y156" s="11"/>
      <c r="Z156" s="11"/>
      <c r="AA156" s="11"/>
      <c r="AB156" s="11"/>
      <c r="AC156" s="11"/>
    </row>
    <row r="157" ht="12.0" customHeight="1">
      <c r="A157" s="11">
        <f>VINMAX</f>
        <v>30</v>
      </c>
      <c r="B157" s="292">
        <f>VINMAX*((ROW()-129)/104)</f>
        <v>8.076923077</v>
      </c>
      <c r="C157" s="267">
        <f t="shared" si="11"/>
        <v>0.2</v>
      </c>
      <c r="D157" s="262">
        <f>B121</f>
        <v>70.4</v>
      </c>
      <c r="E157" s="252">
        <f t="shared" si="12"/>
        <v>3.21122807</v>
      </c>
      <c r="F157" s="267">
        <f>Equations!$G$69+C157</f>
        <v>0.52</v>
      </c>
      <c r="G157" s="267">
        <f t="shared" si="13"/>
        <v>0.52</v>
      </c>
      <c r="H157" s="267">
        <f t="shared" si="14"/>
        <v>0.32</v>
      </c>
      <c r="I157" s="266">
        <f>(COUTMAX/1000000)*(B157-B156)/H157</f>
        <v>0.002704326923</v>
      </c>
      <c r="J157" s="266">
        <f t="shared" si="19"/>
        <v>0.07572115385</v>
      </c>
      <c r="K157" s="291">
        <f t="shared" si="15"/>
        <v>75.72115385</v>
      </c>
      <c r="L157" s="268">
        <f t="shared" si="16"/>
        <v>0.6153846154</v>
      </c>
      <c r="M157" s="11">
        <f>1/COUTMAX*(E157/2-C157)*1000</f>
        <v>0.4685380117</v>
      </c>
      <c r="N157" s="289">
        <f t="shared" si="17"/>
        <v>0.03082932692</v>
      </c>
      <c r="O157" s="11">
        <f t="shared" si="18"/>
        <v>11.4</v>
      </c>
      <c r="P157" s="11">
        <f>(A157-B157)*(Equations!$G$69*$Q$121+C157)</f>
        <v>14.03076923</v>
      </c>
      <c r="Q157" s="11">
        <f>(A157-B157)*(Equations!$G$69*$R$121+C157)</f>
        <v>8.769230769</v>
      </c>
      <c r="R157" s="11"/>
      <c r="S157" s="11"/>
      <c r="T157" s="11"/>
      <c r="U157" s="11"/>
      <c r="V157" s="11"/>
      <c r="W157" s="11"/>
      <c r="X157" s="11"/>
      <c r="Y157" s="11"/>
      <c r="Z157" s="11"/>
      <c r="AA157" s="11"/>
      <c r="AB157" s="11"/>
      <c r="AC157" s="11"/>
    </row>
    <row r="158" ht="12.0" customHeight="1">
      <c r="A158" s="11">
        <f>VINMAX</f>
        <v>30</v>
      </c>
      <c r="B158" s="292">
        <f>VINMAX*((ROW()-129)/104)</f>
        <v>8.365384615</v>
      </c>
      <c r="C158" s="267">
        <f t="shared" si="11"/>
        <v>0.2</v>
      </c>
      <c r="D158" s="262">
        <f>B121</f>
        <v>70.4</v>
      </c>
      <c r="E158" s="252">
        <f t="shared" si="12"/>
        <v>3.254044444</v>
      </c>
      <c r="F158" s="267">
        <f>Equations!$G$69+C158</f>
        <v>0.52</v>
      </c>
      <c r="G158" s="267">
        <f t="shared" si="13"/>
        <v>0.52</v>
      </c>
      <c r="H158" s="267">
        <f t="shared" si="14"/>
        <v>0.32</v>
      </c>
      <c r="I158" s="266">
        <f>(COUTMAX/1000000)*(B158-B157)/H158</f>
        <v>0.002704326923</v>
      </c>
      <c r="J158" s="266">
        <f t="shared" si="19"/>
        <v>0.07842548077</v>
      </c>
      <c r="K158" s="291">
        <f t="shared" si="15"/>
        <v>78.42548077</v>
      </c>
      <c r="L158" s="268">
        <f t="shared" si="16"/>
        <v>0.6153846154</v>
      </c>
      <c r="M158" s="11">
        <f>1/COUTMAX*(E158/2-C158)*1000</f>
        <v>0.4756740741</v>
      </c>
      <c r="N158" s="289">
        <f t="shared" si="17"/>
        <v>0.03042367788</v>
      </c>
      <c r="O158" s="11">
        <f t="shared" si="18"/>
        <v>11.25</v>
      </c>
      <c r="P158" s="11">
        <f>(A158-B158)*(Equations!$G$69*$Q$121+C158)</f>
        <v>13.84615385</v>
      </c>
      <c r="Q158" s="11">
        <f>(A158-B158)*(Equations!$G$69*$R$121+C158)</f>
        <v>8.653846154</v>
      </c>
      <c r="R158" s="11"/>
      <c r="S158" s="11"/>
      <c r="T158" s="11"/>
      <c r="U158" s="11"/>
      <c r="V158" s="11"/>
      <c r="W158" s="11"/>
      <c r="X158" s="11"/>
      <c r="Y158" s="11"/>
      <c r="Z158" s="11"/>
      <c r="AA158" s="11"/>
      <c r="AB158" s="11"/>
      <c r="AC158" s="11"/>
    </row>
    <row r="159" ht="12.0" customHeight="1">
      <c r="A159" s="11">
        <f>VINMAX</f>
        <v>30</v>
      </c>
      <c r="B159" s="292">
        <f>VINMAX*((ROW()-129)/104)</f>
        <v>8.653846154</v>
      </c>
      <c r="C159" s="267">
        <f t="shared" si="11"/>
        <v>0.2</v>
      </c>
      <c r="D159" s="262">
        <f>B121</f>
        <v>70.4</v>
      </c>
      <c r="E159" s="252">
        <f t="shared" si="12"/>
        <v>3.298018018</v>
      </c>
      <c r="F159" s="267">
        <f>Equations!$G$69+C159</f>
        <v>0.52</v>
      </c>
      <c r="G159" s="267">
        <f t="shared" si="13"/>
        <v>0.52</v>
      </c>
      <c r="H159" s="267">
        <f t="shared" si="14"/>
        <v>0.32</v>
      </c>
      <c r="I159" s="266">
        <f>(COUTMAX/1000000)*(B159-B158)/H159</f>
        <v>0.002704326923</v>
      </c>
      <c r="J159" s="266">
        <f t="shared" si="19"/>
        <v>0.08112980769</v>
      </c>
      <c r="K159" s="291">
        <f t="shared" si="15"/>
        <v>81.12980769</v>
      </c>
      <c r="L159" s="268">
        <f t="shared" si="16"/>
        <v>0.6153846154</v>
      </c>
      <c r="M159" s="11">
        <f>1/COUTMAX*(E159/2-C159)*1000</f>
        <v>0.483003003</v>
      </c>
      <c r="N159" s="289">
        <f t="shared" si="17"/>
        <v>0.03001802885</v>
      </c>
      <c r="O159" s="11">
        <f t="shared" si="18"/>
        <v>11.1</v>
      </c>
      <c r="P159" s="11">
        <f>(A159-B159)*(Equations!$G$69*$Q$121+C159)</f>
        <v>13.66153846</v>
      </c>
      <c r="Q159" s="11">
        <f>(A159-B159)*(Equations!$G$69*$R$121+C159)</f>
        <v>8.538461538</v>
      </c>
      <c r="R159" s="11"/>
      <c r="S159" s="11"/>
      <c r="T159" s="11"/>
      <c r="U159" s="11"/>
      <c r="V159" s="11"/>
      <c r="W159" s="11"/>
      <c r="X159" s="11"/>
      <c r="Y159" s="11"/>
      <c r="Z159" s="11"/>
      <c r="AA159" s="11"/>
      <c r="AB159" s="11"/>
      <c r="AC159" s="11"/>
    </row>
    <row r="160" ht="12.0" customHeight="1">
      <c r="A160" s="11">
        <f>VINMAX</f>
        <v>30</v>
      </c>
      <c r="B160" s="292">
        <f>VINMAX*((ROW()-129)/104)</f>
        <v>8.942307692</v>
      </c>
      <c r="C160" s="267">
        <f t="shared" si="11"/>
        <v>0.2</v>
      </c>
      <c r="D160" s="262">
        <f>B121</f>
        <v>70.4</v>
      </c>
      <c r="E160" s="252">
        <f t="shared" si="12"/>
        <v>3.343196347</v>
      </c>
      <c r="F160" s="267">
        <f>Equations!$G$69+C160</f>
        <v>0.52</v>
      </c>
      <c r="G160" s="267">
        <f t="shared" si="13"/>
        <v>0.52</v>
      </c>
      <c r="H160" s="267">
        <f t="shared" si="14"/>
        <v>0.32</v>
      </c>
      <c r="I160" s="266">
        <f>(COUTMAX/1000000)*(B160-B159)/H160</f>
        <v>0.002704326923</v>
      </c>
      <c r="J160" s="266">
        <f t="shared" si="19"/>
        <v>0.08383413462</v>
      </c>
      <c r="K160" s="291">
        <f t="shared" si="15"/>
        <v>83.83413462</v>
      </c>
      <c r="L160" s="268">
        <f t="shared" si="16"/>
        <v>0.6153846154</v>
      </c>
      <c r="M160" s="11">
        <f>1/COUTMAX*(E160/2-C160)*1000</f>
        <v>0.4905327245</v>
      </c>
      <c r="N160" s="289">
        <f t="shared" si="17"/>
        <v>0.02961237981</v>
      </c>
      <c r="O160" s="11">
        <f t="shared" si="18"/>
        <v>10.95</v>
      </c>
      <c r="P160" s="11">
        <f>(A160-B160)*(Equations!$G$69*$Q$121+C160)</f>
        <v>13.47692308</v>
      </c>
      <c r="Q160" s="11">
        <f>(A160-B160)*(Equations!$G$69*$R$121+C160)</f>
        <v>8.423076923</v>
      </c>
      <c r="R160" s="11"/>
      <c r="S160" s="11"/>
      <c r="T160" s="11"/>
      <c r="U160" s="11"/>
      <c r="V160" s="11"/>
      <c r="W160" s="11"/>
      <c r="X160" s="11"/>
      <c r="Y160" s="11"/>
      <c r="Z160" s="11"/>
      <c r="AA160" s="11"/>
      <c r="AB160" s="11"/>
      <c r="AC160" s="11"/>
    </row>
    <row r="161" ht="12.0" customHeight="1">
      <c r="A161" s="11">
        <f>VINMAX</f>
        <v>30</v>
      </c>
      <c r="B161" s="292">
        <f>VINMAX*((ROW()-129)/104)</f>
        <v>9.230769231</v>
      </c>
      <c r="C161" s="267">
        <f t="shared" si="11"/>
        <v>0.2</v>
      </c>
      <c r="D161" s="262">
        <f>B121</f>
        <v>70.4</v>
      </c>
      <c r="E161" s="252">
        <f t="shared" si="12"/>
        <v>3.38962963</v>
      </c>
      <c r="F161" s="267">
        <f>Equations!$G$69+C161</f>
        <v>0.52</v>
      </c>
      <c r="G161" s="267">
        <f t="shared" si="13"/>
        <v>0.52</v>
      </c>
      <c r="H161" s="267">
        <f t="shared" si="14"/>
        <v>0.32</v>
      </c>
      <c r="I161" s="266">
        <f>(COUTMAX/1000000)*(B161-B160)/H161</f>
        <v>0.002704326923</v>
      </c>
      <c r="J161" s="266">
        <f t="shared" si="19"/>
        <v>0.08653846154</v>
      </c>
      <c r="K161" s="291">
        <f t="shared" si="15"/>
        <v>86.53846154</v>
      </c>
      <c r="L161" s="268">
        <f t="shared" si="16"/>
        <v>0.6153846154</v>
      </c>
      <c r="M161" s="11">
        <f>1/COUTMAX*(E161/2-C161)*1000</f>
        <v>0.4982716049</v>
      </c>
      <c r="N161" s="289">
        <f t="shared" si="17"/>
        <v>0.02920673077</v>
      </c>
      <c r="O161" s="11">
        <f t="shared" si="18"/>
        <v>10.8</v>
      </c>
      <c r="P161" s="11">
        <f>(A161-B161)*(Equations!$G$69*$Q$121+C161)</f>
        <v>13.29230769</v>
      </c>
      <c r="Q161" s="11">
        <f>(A161-B161)*(Equations!$G$69*$R$121+C161)</f>
        <v>8.307692308</v>
      </c>
      <c r="R161" s="11"/>
      <c r="S161" s="11"/>
      <c r="T161" s="11"/>
      <c r="U161" s="11"/>
      <c r="V161" s="11"/>
      <c r="W161" s="11"/>
      <c r="X161" s="11"/>
      <c r="Y161" s="11"/>
      <c r="Z161" s="11"/>
      <c r="AA161" s="11"/>
      <c r="AB161" s="11"/>
      <c r="AC161" s="11"/>
    </row>
    <row r="162" ht="12.0" customHeight="1">
      <c r="A162" s="11">
        <f>VINMAX</f>
        <v>30</v>
      </c>
      <c r="B162" s="292">
        <f>VINMAX*((ROW()-129)/104)</f>
        <v>9.519230769</v>
      </c>
      <c r="C162" s="267">
        <f t="shared" si="11"/>
        <v>0.2</v>
      </c>
      <c r="D162" s="262">
        <f>B121</f>
        <v>70.4</v>
      </c>
      <c r="E162" s="252">
        <f t="shared" si="12"/>
        <v>3.437370892</v>
      </c>
      <c r="F162" s="267">
        <f>Equations!$G$69+C162</f>
        <v>0.52</v>
      </c>
      <c r="G162" s="267">
        <f t="shared" si="13"/>
        <v>0.52</v>
      </c>
      <c r="H162" s="267">
        <f t="shared" si="14"/>
        <v>0.32</v>
      </c>
      <c r="I162" s="266">
        <f>(COUTMAX/1000000)*(B162-B161)/H162</f>
        <v>0.002704326923</v>
      </c>
      <c r="J162" s="266">
        <f t="shared" si="19"/>
        <v>0.08924278846</v>
      </c>
      <c r="K162" s="291">
        <f t="shared" si="15"/>
        <v>89.24278846</v>
      </c>
      <c r="L162" s="268">
        <f t="shared" si="16"/>
        <v>0.6153846154</v>
      </c>
      <c r="M162" s="11">
        <f>1/COUTMAX*(E162/2-C162)*1000</f>
        <v>0.506228482</v>
      </c>
      <c r="N162" s="289">
        <f t="shared" si="17"/>
        <v>0.02880108173</v>
      </c>
      <c r="O162" s="11">
        <f t="shared" si="18"/>
        <v>10.65</v>
      </c>
      <c r="P162" s="11">
        <f>(A162-B162)*(Equations!$G$69*$Q$121+C162)</f>
        <v>13.10769231</v>
      </c>
      <c r="Q162" s="11">
        <f>(A162-B162)*(Equations!$G$69*$R$121+C162)</f>
        <v>8.192307692</v>
      </c>
      <c r="R162" s="11"/>
      <c r="S162" s="11"/>
      <c r="T162" s="11"/>
      <c r="U162" s="11"/>
      <c r="V162" s="11"/>
      <c r="W162" s="11"/>
      <c r="X162" s="11"/>
      <c r="Y162" s="11"/>
      <c r="Z162" s="11"/>
      <c r="AA162" s="11"/>
      <c r="AB162" s="11"/>
      <c r="AC162" s="11"/>
    </row>
    <row r="163" ht="12.0" customHeight="1">
      <c r="A163" s="11">
        <f>VINMAX</f>
        <v>30</v>
      </c>
      <c r="B163" s="292">
        <f>VINMAX*((ROW()-129)/104)</f>
        <v>9.807692308</v>
      </c>
      <c r="C163" s="267">
        <f t="shared" si="11"/>
        <v>0.2</v>
      </c>
      <c r="D163" s="262">
        <f>B121</f>
        <v>70.4</v>
      </c>
      <c r="E163" s="252">
        <f t="shared" si="12"/>
        <v>3.48647619</v>
      </c>
      <c r="F163" s="267">
        <f>Equations!$G$69+C163</f>
        <v>0.52</v>
      </c>
      <c r="G163" s="267">
        <f t="shared" si="13"/>
        <v>0.52</v>
      </c>
      <c r="H163" s="267">
        <f t="shared" si="14"/>
        <v>0.32</v>
      </c>
      <c r="I163" s="266">
        <f>(COUTMAX/1000000)*(B163-B162)/H163</f>
        <v>0.002704326923</v>
      </c>
      <c r="J163" s="266">
        <f t="shared" si="19"/>
        <v>0.09194711538</v>
      </c>
      <c r="K163" s="291">
        <f t="shared" si="15"/>
        <v>91.94711538</v>
      </c>
      <c r="L163" s="268">
        <f t="shared" si="16"/>
        <v>0.6153846154</v>
      </c>
      <c r="M163" s="11">
        <f>1/COUTMAX*(E163/2-C163)*1000</f>
        <v>0.5144126984</v>
      </c>
      <c r="N163" s="289">
        <f t="shared" si="17"/>
        <v>0.02839543269</v>
      </c>
      <c r="O163" s="11">
        <f t="shared" si="18"/>
        <v>10.5</v>
      </c>
      <c r="P163" s="11">
        <f>(A163-B163)*(Equations!$G$69*$Q$121+C163)</f>
        <v>12.92307692</v>
      </c>
      <c r="Q163" s="11">
        <f>(A163-B163)*(Equations!$G$69*$R$121+C163)</f>
        <v>8.076923077</v>
      </c>
      <c r="R163" s="11"/>
      <c r="S163" s="11"/>
      <c r="T163" s="11"/>
      <c r="U163" s="11"/>
      <c r="V163" s="11"/>
      <c r="W163" s="11"/>
      <c r="X163" s="11"/>
      <c r="Y163" s="11"/>
      <c r="Z163" s="11"/>
      <c r="AA163" s="11"/>
      <c r="AB163" s="11"/>
      <c r="AC163" s="11"/>
    </row>
    <row r="164" ht="12.0" customHeight="1">
      <c r="A164" s="11">
        <f>VINMAX</f>
        <v>30</v>
      </c>
      <c r="B164" s="292">
        <f>VINMAX*((ROW()-129)/104)</f>
        <v>10.09615385</v>
      </c>
      <c r="C164" s="267">
        <f t="shared" si="11"/>
        <v>0.2</v>
      </c>
      <c r="D164" s="262">
        <f>B121</f>
        <v>70.4</v>
      </c>
      <c r="E164" s="252">
        <f t="shared" si="12"/>
        <v>3.537004831</v>
      </c>
      <c r="F164" s="267">
        <f>Equations!$G$69+C164</f>
        <v>0.52</v>
      </c>
      <c r="G164" s="267">
        <f t="shared" si="13"/>
        <v>0.52</v>
      </c>
      <c r="H164" s="267">
        <f t="shared" si="14"/>
        <v>0.32</v>
      </c>
      <c r="I164" s="266">
        <f>(COUTMAX/1000000)*(B164-B163)/H164</f>
        <v>0.002704326923</v>
      </c>
      <c r="J164" s="266">
        <f t="shared" si="19"/>
        <v>0.09465144231</v>
      </c>
      <c r="K164" s="291">
        <f t="shared" si="15"/>
        <v>94.65144231</v>
      </c>
      <c r="L164" s="268">
        <f t="shared" si="16"/>
        <v>0.6153846154</v>
      </c>
      <c r="M164" s="11">
        <f>1/COUTMAX*(E164/2-C164)*1000</f>
        <v>0.5228341385</v>
      </c>
      <c r="N164" s="289">
        <f t="shared" si="17"/>
        <v>0.02798978365</v>
      </c>
      <c r="O164" s="11">
        <f t="shared" si="18"/>
        <v>10.35</v>
      </c>
      <c r="P164" s="11">
        <f>(A164-B164)*(Equations!$G$69*$Q$121+C164)</f>
        <v>12.73846154</v>
      </c>
      <c r="Q164" s="11">
        <f>(A164-B164)*(Equations!$G$69*$R$121+C164)</f>
        <v>7.961538462</v>
      </c>
      <c r="R164" s="11"/>
      <c r="S164" s="11"/>
      <c r="T164" s="11"/>
      <c r="U164" s="11"/>
      <c r="V164" s="11"/>
      <c r="W164" s="11"/>
      <c r="X164" s="11"/>
      <c r="Y164" s="11"/>
      <c r="Z164" s="11"/>
      <c r="AA164" s="11"/>
      <c r="AB164" s="11"/>
      <c r="AC164" s="11"/>
    </row>
    <row r="165" ht="12.0" customHeight="1">
      <c r="A165" s="11">
        <f>VINMAX</f>
        <v>30</v>
      </c>
      <c r="B165" s="292">
        <f>VINMAX*((ROW()-129)/104)</f>
        <v>10.38461538</v>
      </c>
      <c r="C165" s="267">
        <f t="shared" si="11"/>
        <v>0.2</v>
      </c>
      <c r="D165" s="262">
        <f>B121</f>
        <v>70.4</v>
      </c>
      <c r="E165" s="252">
        <f t="shared" si="12"/>
        <v>3.589019608</v>
      </c>
      <c r="F165" s="267">
        <f>Equations!$G$69+C165</f>
        <v>0.52</v>
      </c>
      <c r="G165" s="267">
        <f t="shared" si="13"/>
        <v>0.52</v>
      </c>
      <c r="H165" s="267">
        <f t="shared" si="14"/>
        <v>0.32</v>
      </c>
      <c r="I165" s="266">
        <f>(COUTMAX/1000000)*(B165-B164)/H165</f>
        <v>0.002704326923</v>
      </c>
      <c r="J165" s="266">
        <f t="shared" si="19"/>
        <v>0.09735576923</v>
      </c>
      <c r="K165" s="291">
        <f t="shared" si="15"/>
        <v>97.35576923</v>
      </c>
      <c r="L165" s="268">
        <f t="shared" si="16"/>
        <v>0.6153846154</v>
      </c>
      <c r="M165" s="11">
        <f>1/COUTMAX*(E165/2-C165)*1000</f>
        <v>0.531503268</v>
      </c>
      <c r="N165" s="289">
        <f t="shared" si="17"/>
        <v>0.02758413462</v>
      </c>
      <c r="O165" s="11">
        <f t="shared" si="18"/>
        <v>10.2</v>
      </c>
      <c r="P165" s="11">
        <f>(A165-B165)*(Equations!$G$69*$Q$121+C165)</f>
        <v>12.55384615</v>
      </c>
      <c r="Q165" s="11">
        <f>(A165-B165)*(Equations!$G$69*$R$121+C165)</f>
        <v>7.846153846</v>
      </c>
      <c r="R165" s="11"/>
      <c r="S165" s="11"/>
      <c r="T165" s="11"/>
      <c r="U165" s="11"/>
      <c r="V165" s="11"/>
      <c r="W165" s="11"/>
      <c r="X165" s="11"/>
      <c r="Y165" s="11"/>
      <c r="Z165" s="11"/>
      <c r="AA165" s="11"/>
      <c r="AB165" s="11"/>
      <c r="AC165" s="11"/>
    </row>
    <row r="166" ht="12.0" customHeight="1">
      <c r="A166" s="11">
        <f>VINMAX</f>
        <v>30</v>
      </c>
      <c r="B166" s="292">
        <f>VINMAX*((ROW()-129)/104)</f>
        <v>10.67307692</v>
      </c>
      <c r="C166" s="267">
        <f t="shared" si="11"/>
        <v>0.2</v>
      </c>
      <c r="D166" s="262">
        <f>B121</f>
        <v>70.4</v>
      </c>
      <c r="E166" s="252">
        <f t="shared" si="12"/>
        <v>3.642587065</v>
      </c>
      <c r="F166" s="267">
        <f>Equations!$G$69+C166</f>
        <v>0.52</v>
      </c>
      <c r="G166" s="267">
        <f t="shared" si="13"/>
        <v>0.52</v>
      </c>
      <c r="H166" s="267">
        <f t="shared" si="14"/>
        <v>0.32</v>
      </c>
      <c r="I166" s="266">
        <f>(COUTMAX/1000000)*(B166-B165)/H166</f>
        <v>0.002704326923</v>
      </c>
      <c r="J166" s="266">
        <f t="shared" si="19"/>
        <v>0.1000600962</v>
      </c>
      <c r="K166" s="291">
        <f t="shared" si="15"/>
        <v>100.0600962</v>
      </c>
      <c r="L166" s="268">
        <f t="shared" si="16"/>
        <v>0.6153846154</v>
      </c>
      <c r="M166" s="11">
        <f>1/COUTMAX*(E166/2-C166)*1000</f>
        <v>0.5404311774</v>
      </c>
      <c r="N166" s="289">
        <f t="shared" si="17"/>
        <v>0.02717848558</v>
      </c>
      <c r="O166" s="11">
        <f t="shared" si="18"/>
        <v>10.05</v>
      </c>
      <c r="P166" s="11">
        <f>(A166-B166)*(Equations!$G$69*$Q$121+C166)</f>
        <v>12.36923077</v>
      </c>
      <c r="Q166" s="11">
        <f>(A166-B166)*(Equations!$G$69*$R$121+C166)</f>
        <v>7.730769231</v>
      </c>
      <c r="R166" s="11"/>
      <c r="S166" s="11"/>
      <c r="T166" s="11"/>
      <c r="U166" s="11"/>
      <c r="V166" s="11"/>
      <c r="W166" s="11"/>
      <c r="X166" s="11"/>
      <c r="Y166" s="11"/>
      <c r="Z166" s="11"/>
      <c r="AA166" s="11"/>
      <c r="AB166" s="11"/>
      <c r="AC166" s="11"/>
    </row>
    <row r="167" ht="12.0" customHeight="1">
      <c r="A167" s="11">
        <f>VINMAX</f>
        <v>30</v>
      </c>
      <c r="B167" s="292">
        <f>VINMAX*((ROW()-129)/104)</f>
        <v>10.96153846</v>
      </c>
      <c r="C167" s="267">
        <f t="shared" si="11"/>
        <v>0.2</v>
      </c>
      <c r="D167" s="262">
        <f>B121</f>
        <v>70.4</v>
      </c>
      <c r="E167" s="252">
        <f t="shared" si="12"/>
        <v>3.697777778</v>
      </c>
      <c r="F167" s="267">
        <f>Equations!$G$69+C167</f>
        <v>0.52</v>
      </c>
      <c r="G167" s="267">
        <f t="shared" si="13"/>
        <v>0.52</v>
      </c>
      <c r="H167" s="267">
        <f t="shared" si="14"/>
        <v>0.32</v>
      </c>
      <c r="I167" s="266">
        <f>(COUTMAX/1000000)*(B167-B166)/H167</f>
        <v>0.002704326923</v>
      </c>
      <c r="J167" s="266">
        <f t="shared" si="19"/>
        <v>0.1027644231</v>
      </c>
      <c r="K167" s="291">
        <f t="shared" si="15"/>
        <v>102.7644231</v>
      </c>
      <c r="L167" s="268">
        <f t="shared" si="16"/>
        <v>0.6153846154</v>
      </c>
      <c r="M167" s="11">
        <f>1/COUTMAX*(E167/2-C167)*1000</f>
        <v>0.5496296296</v>
      </c>
      <c r="N167" s="289">
        <f t="shared" si="17"/>
        <v>0.02677283654</v>
      </c>
      <c r="O167" s="11">
        <f t="shared" si="18"/>
        <v>9.9</v>
      </c>
      <c r="P167" s="11">
        <f>(A167-B167)*(Equations!$G$69*$Q$121+C167)</f>
        <v>12.18461538</v>
      </c>
      <c r="Q167" s="11">
        <f>(A167-B167)*(Equations!$G$69*$R$121+C167)</f>
        <v>7.615384615</v>
      </c>
      <c r="R167" s="11"/>
      <c r="S167" s="11"/>
      <c r="T167" s="11"/>
      <c r="U167" s="11"/>
      <c r="V167" s="11"/>
      <c r="W167" s="11"/>
      <c r="X167" s="11"/>
      <c r="Y167" s="11"/>
      <c r="Z167" s="11"/>
      <c r="AA167" s="11"/>
      <c r="AB167" s="11"/>
      <c r="AC167" s="11"/>
    </row>
    <row r="168" ht="12.0" customHeight="1">
      <c r="A168" s="11">
        <f>VINMAX</f>
        <v>30</v>
      </c>
      <c r="B168" s="292">
        <f>VINMAX*((ROW()-129)/104)</f>
        <v>11.25</v>
      </c>
      <c r="C168" s="267">
        <f t="shared" si="11"/>
        <v>0.2</v>
      </c>
      <c r="D168" s="262">
        <f>B121</f>
        <v>70.4</v>
      </c>
      <c r="E168" s="252">
        <f t="shared" si="12"/>
        <v>3.754666667</v>
      </c>
      <c r="F168" s="267">
        <f>Equations!$G$69+C168</f>
        <v>0.52</v>
      </c>
      <c r="G168" s="267">
        <f t="shared" si="13"/>
        <v>0.52</v>
      </c>
      <c r="H168" s="267">
        <f t="shared" si="14"/>
        <v>0.32</v>
      </c>
      <c r="I168" s="266">
        <f>(COUTMAX/1000000)*(B168-B167)/H168</f>
        <v>0.002704326923</v>
      </c>
      <c r="J168" s="266">
        <f t="shared" si="19"/>
        <v>0.10546875</v>
      </c>
      <c r="K168" s="291">
        <f t="shared" si="15"/>
        <v>105.46875</v>
      </c>
      <c r="L168" s="268">
        <f t="shared" si="16"/>
        <v>0.6153846154</v>
      </c>
      <c r="M168" s="11">
        <f>1/COUTMAX*(E168/2-C168)*1000</f>
        <v>0.5591111111</v>
      </c>
      <c r="N168" s="289">
        <f t="shared" si="17"/>
        <v>0.0263671875</v>
      </c>
      <c r="O168" s="11">
        <f t="shared" si="18"/>
        <v>9.75</v>
      </c>
      <c r="P168" s="11">
        <f>(A168-B168)*(Equations!$G$69*$Q$121+C168)</f>
        <v>12</v>
      </c>
      <c r="Q168" s="11">
        <f>(A168-B168)*(Equations!$G$69*$R$121+C168)</f>
        <v>7.5</v>
      </c>
      <c r="R168" s="11"/>
      <c r="S168" s="11"/>
      <c r="T168" s="11"/>
      <c r="U168" s="11"/>
      <c r="V168" s="11"/>
      <c r="W168" s="11"/>
      <c r="X168" s="11"/>
      <c r="Y168" s="11"/>
      <c r="Z168" s="11"/>
      <c r="AA168" s="11"/>
      <c r="AB168" s="11"/>
      <c r="AC168" s="11"/>
    </row>
    <row r="169" ht="12.0" customHeight="1">
      <c r="A169" s="11">
        <f>VINMAX</f>
        <v>30</v>
      </c>
      <c r="B169" s="292">
        <f>VINMAX*((ROW()-129)/104)</f>
        <v>11.53846154</v>
      </c>
      <c r="C169" s="267">
        <f t="shared" si="11"/>
        <v>0.2</v>
      </c>
      <c r="D169" s="262">
        <f>B121</f>
        <v>70.4</v>
      </c>
      <c r="E169" s="252">
        <f t="shared" si="12"/>
        <v>3.813333333</v>
      </c>
      <c r="F169" s="267">
        <f>Equations!$G$69+C169</f>
        <v>0.52</v>
      </c>
      <c r="G169" s="267">
        <f t="shared" si="13"/>
        <v>0.52</v>
      </c>
      <c r="H169" s="267">
        <f t="shared" si="14"/>
        <v>0.32</v>
      </c>
      <c r="I169" s="266">
        <f>(COUTMAX/1000000)*(B169-B168)/H169</f>
        <v>0.002704326923</v>
      </c>
      <c r="J169" s="266">
        <f t="shared" si="19"/>
        <v>0.1081730769</v>
      </c>
      <c r="K169" s="291">
        <f t="shared" si="15"/>
        <v>108.1730769</v>
      </c>
      <c r="L169" s="268">
        <f t="shared" si="16"/>
        <v>0.6153846154</v>
      </c>
      <c r="M169" s="11">
        <f>1/COUTMAX*(E169/2-C169)*1000</f>
        <v>0.5688888889</v>
      </c>
      <c r="N169" s="289">
        <f t="shared" si="17"/>
        <v>0.02596153846</v>
      </c>
      <c r="O169" s="11">
        <f t="shared" si="18"/>
        <v>9.6</v>
      </c>
      <c r="P169" s="11">
        <f>(A169-B169)*(Equations!$G$69*$Q$121+C169)</f>
        <v>11.81538462</v>
      </c>
      <c r="Q169" s="11">
        <f>(A169-B169)*(Equations!$G$69*$R$121+C169)</f>
        <v>7.384615385</v>
      </c>
      <c r="R169" s="11"/>
      <c r="S169" s="11"/>
      <c r="T169" s="11"/>
      <c r="U169" s="11"/>
      <c r="V169" s="11"/>
      <c r="W169" s="11"/>
      <c r="X169" s="11"/>
      <c r="Y169" s="11"/>
      <c r="Z169" s="11"/>
      <c r="AA169" s="11"/>
      <c r="AB169" s="11"/>
      <c r="AC169" s="11"/>
    </row>
    <row r="170" ht="12.0" customHeight="1">
      <c r="A170" s="11">
        <f>VINMAX</f>
        <v>30</v>
      </c>
      <c r="B170" s="292">
        <f>VINMAX*((ROW()-129)/104)</f>
        <v>11.82692308</v>
      </c>
      <c r="C170" s="267">
        <f t="shared" si="11"/>
        <v>0.2</v>
      </c>
      <c r="D170" s="262">
        <f>B121</f>
        <v>70.4</v>
      </c>
      <c r="E170" s="252">
        <f t="shared" si="12"/>
        <v>3.873862434</v>
      </c>
      <c r="F170" s="267">
        <f>Equations!$G$69+C170</f>
        <v>0.52</v>
      </c>
      <c r="G170" s="267">
        <f t="shared" si="13"/>
        <v>0.52</v>
      </c>
      <c r="H170" s="267">
        <f t="shared" si="14"/>
        <v>0.32</v>
      </c>
      <c r="I170" s="266">
        <f>(COUTMAX/1000000)*(B170-B169)/H170</f>
        <v>0.002704326923</v>
      </c>
      <c r="J170" s="266">
        <f t="shared" si="19"/>
        <v>0.1108774038</v>
      </c>
      <c r="K170" s="291">
        <f t="shared" si="15"/>
        <v>110.8774038</v>
      </c>
      <c r="L170" s="268">
        <f t="shared" si="16"/>
        <v>0.6153846154</v>
      </c>
      <c r="M170" s="11">
        <f>1/COUTMAX*(E170/2-C170)*1000</f>
        <v>0.5789770723</v>
      </c>
      <c r="N170" s="289">
        <f t="shared" si="17"/>
        <v>0.02555588942</v>
      </c>
      <c r="O170" s="11">
        <f t="shared" si="18"/>
        <v>9.45</v>
      </c>
      <c r="P170" s="11">
        <f>(A170-B170)*(Equations!$G$69*$Q$121+C170)</f>
        <v>11.63076923</v>
      </c>
      <c r="Q170" s="11">
        <f>(A170-B170)*(Equations!$G$69*$R$121+C170)</f>
        <v>7.269230769</v>
      </c>
      <c r="R170" s="11"/>
      <c r="S170" s="11"/>
      <c r="T170" s="11"/>
      <c r="U170" s="11"/>
      <c r="V170" s="11"/>
      <c r="W170" s="11"/>
      <c r="X170" s="11"/>
      <c r="Y170" s="11"/>
      <c r="Z170" s="11"/>
      <c r="AA170" s="11"/>
      <c r="AB170" s="11"/>
      <c r="AC170" s="11"/>
    </row>
    <row r="171" ht="12.0" customHeight="1">
      <c r="A171" s="11">
        <f>VINMAX</f>
        <v>30</v>
      </c>
      <c r="B171" s="292">
        <f>VINMAX*((ROW()-129)/104)</f>
        <v>12.11538462</v>
      </c>
      <c r="C171" s="267">
        <f t="shared" si="11"/>
        <v>0.2</v>
      </c>
      <c r="D171" s="262">
        <f>B121</f>
        <v>70.4</v>
      </c>
      <c r="E171" s="252">
        <f t="shared" si="12"/>
        <v>3.936344086</v>
      </c>
      <c r="F171" s="267">
        <f>Equations!$G$69+C171</f>
        <v>0.52</v>
      </c>
      <c r="G171" s="267">
        <f t="shared" si="13"/>
        <v>0.52</v>
      </c>
      <c r="H171" s="267">
        <f t="shared" si="14"/>
        <v>0.32</v>
      </c>
      <c r="I171" s="266">
        <f>(COUTMAX/1000000)*(B171-B170)/H171</f>
        <v>0.002704326923</v>
      </c>
      <c r="J171" s="266">
        <f t="shared" si="19"/>
        <v>0.1135817308</v>
      </c>
      <c r="K171" s="291">
        <f t="shared" si="15"/>
        <v>113.5817308</v>
      </c>
      <c r="L171" s="268">
        <f t="shared" si="16"/>
        <v>0.6153846154</v>
      </c>
      <c r="M171" s="11">
        <f>1/COUTMAX*(E171/2-C171)*1000</f>
        <v>0.589390681</v>
      </c>
      <c r="N171" s="289">
        <f t="shared" si="17"/>
        <v>0.02515024038</v>
      </c>
      <c r="O171" s="11">
        <f t="shared" si="18"/>
        <v>9.3</v>
      </c>
      <c r="P171" s="11">
        <f>(A171-B171)*(Equations!$G$69*$Q$121+C171)</f>
        <v>11.44615385</v>
      </c>
      <c r="Q171" s="11">
        <f>(A171-B171)*(Equations!$G$69*$R$121+C171)</f>
        <v>7.153846154</v>
      </c>
      <c r="R171" s="11"/>
      <c r="S171" s="11"/>
      <c r="T171" s="11"/>
      <c r="U171" s="11"/>
      <c r="V171" s="11"/>
      <c r="W171" s="11"/>
      <c r="X171" s="11"/>
      <c r="Y171" s="11"/>
      <c r="Z171" s="11"/>
      <c r="AA171" s="11"/>
      <c r="AB171" s="11"/>
      <c r="AC171" s="11"/>
    </row>
    <row r="172" ht="12.0" customHeight="1">
      <c r="A172" s="11">
        <f>VINMAX</f>
        <v>30</v>
      </c>
      <c r="B172" s="292">
        <f>VINMAX*((ROW()-129)/104)</f>
        <v>12.40384615</v>
      </c>
      <c r="C172" s="267">
        <f t="shared" si="11"/>
        <v>0.2</v>
      </c>
      <c r="D172" s="262">
        <f>B121</f>
        <v>70.4</v>
      </c>
      <c r="E172" s="252">
        <f t="shared" si="12"/>
        <v>4.000874317</v>
      </c>
      <c r="F172" s="267">
        <f>Equations!$G$69+C172</f>
        <v>0.52</v>
      </c>
      <c r="G172" s="267">
        <f t="shared" si="13"/>
        <v>0.52</v>
      </c>
      <c r="H172" s="267">
        <f t="shared" si="14"/>
        <v>0.32</v>
      </c>
      <c r="I172" s="266">
        <f>(COUTMAX/1000000)*(B172-B171)/H172</f>
        <v>0.002704326923</v>
      </c>
      <c r="J172" s="266">
        <f t="shared" si="19"/>
        <v>0.1162860577</v>
      </c>
      <c r="K172" s="291">
        <f t="shared" si="15"/>
        <v>116.2860577</v>
      </c>
      <c r="L172" s="268">
        <f t="shared" si="16"/>
        <v>0.6153846154</v>
      </c>
      <c r="M172" s="11">
        <f>1/COUTMAX*(E172/2-C172)*1000</f>
        <v>0.6001457195</v>
      </c>
      <c r="N172" s="289">
        <f t="shared" si="17"/>
        <v>0.02474459135</v>
      </c>
      <c r="O172" s="11">
        <f t="shared" si="18"/>
        <v>9.15</v>
      </c>
      <c r="P172" s="11">
        <f>(A172-B172)*(Equations!$G$69*$Q$121+C172)</f>
        <v>11.26153846</v>
      </c>
      <c r="Q172" s="11">
        <f>(A172-B172)*(Equations!$G$69*$R$121+C172)</f>
        <v>7.038461538</v>
      </c>
      <c r="R172" s="11"/>
      <c r="S172" s="11"/>
      <c r="T172" s="11"/>
      <c r="U172" s="11"/>
      <c r="V172" s="11"/>
      <c r="W172" s="11"/>
      <c r="X172" s="11"/>
      <c r="Y172" s="11"/>
      <c r="Z172" s="11"/>
      <c r="AA172" s="11"/>
      <c r="AB172" s="11"/>
      <c r="AC172" s="11"/>
    </row>
    <row r="173" ht="12.0" customHeight="1">
      <c r="A173" s="11">
        <f>VINMAX</f>
        <v>30</v>
      </c>
      <c r="B173" s="292">
        <f>VINMAX*((ROW()-129)/104)</f>
        <v>12.69230769</v>
      </c>
      <c r="C173" s="267">
        <f t="shared" si="11"/>
        <v>0.2</v>
      </c>
      <c r="D173" s="262">
        <f>B121</f>
        <v>70.4</v>
      </c>
      <c r="E173" s="252">
        <f t="shared" si="12"/>
        <v>4.067555556</v>
      </c>
      <c r="F173" s="267">
        <f>Equations!$G$69+C173</f>
        <v>0.52</v>
      </c>
      <c r="G173" s="267">
        <f t="shared" si="13"/>
        <v>0.52</v>
      </c>
      <c r="H173" s="267">
        <f t="shared" si="14"/>
        <v>0.32</v>
      </c>
      <c r="I173" s="266">
        <f>(COUTMAX/1000000)*(B173-B172)/H173</f>
        <v>0.002704326923</v>
      </c>
      <c r="J173" s="266">
        <f t="shared" si="19"/>
        <v>0.1189903846</v>
      </c>
      <c r="K173" s="291">
        <f t="shared" si="15"/>
        <v>118.9903846</v>
      </c>
      <c r="L173" s="268">
        <f t="shared" si="16"/>
        <v>0.6153846154</v>
      </c>
      <c r="M173" s="11">
        <f>1/COUTMAX*(E173/2-C173)*1000</f>
        <v>0.6112592593</v>
      </c>
      <c r="N173" s="289">
        <f t="shared" si="17"/>
        <v>0.02433894231</v>
      </c>
      <c r="O173" s="11">
        <f t="shared" si="18"/>
        <v>9</v>
      </c>
      <c r="P173" s="11">
        <f>(A173-B173)*(Equations!$G$69*$Q$121+C173)</f>
        <v>11.07692308</v>
      </c>
      <c r="Q173" s="11">
        <f>(A173-B173)*(Equations!$G$69*$R$121+C173)</f>
        <v>6.923076923</v>
      </c>
      <c r="R173" s="11"/>
      <c r="S173" s="11"/>
      <c r="T173" s="11"/>
      <c r="U173" s="11"/>
      <c r="V173" s="11"/>
      <c r="W173" s="11"/>
      <c r="X173" s="11"/>
      <c r="Y173" s="11"/>
      <c r="Z173" s="11"/>
      <c r="AA173" s="11"/>
      <c r="AB173" s="11"/>
      <c r="AC173" s="11"/>
    </row>
    <row r="174" ht="12.0" customHeight="1">
      <c r="A174" s="11">
        <f>VINMAX</f>
        <v>30</v>
      </c>
      <c r="B174" s="292">
        <f>VINMAX*((ROW()-129)/104)</f>
        <v>12.98076923</v>
      </c>
      <c r="C174" s="267">
        <f t="shared" si="11"/>
        <v>0.2</v>
      </c>
      <c r="D174" s="262">
        <f>B121</f>
        <v>70.4</v>
      </c>
      <c r="E174" s="252">
        <f t="shared" si="12"/>
        <v>4.136497175</v>
      </c>
      <c r="F174" s="267">
        <f>Equations!$G$69+C174</f>
        <v>0.52</v>
      </c>
      <c r="G174" s="267">
        <f t="shared" si="13"/>
        <v>0.52</v>
      </c>
      <c r="H174" s="267">
        <f t="shared" si="14"/>
        <v>0.32</v>
      </c>
      <c r="I174" s="266">
        <f>(COUTMAX/1000000)*(B174-B173)/H174</f>
        <v>0.002704326923</v>
      </c>
      <c r="J174" s="266">
        <f t="shared" si="19"/>
        <v>0.1216947115</v>
      </c>
      <c r="K174" s="291">
        <f t="shared" si="15"/>
        <v>121.6947115</v>
      </c>
      <c r="L174" s="268">
        <f t="shared" si="16"/>
        <v>0.6153846154</v>
      </c>
      <c r="M174" s="11">
        <f>1/COUTMAX*(E174/2-C174)*1000</f>
        <v>0.6227495292</v>
      </c>
      <c r="N174" s="289">
        <f t="shared" si="17"/>
        <v>0.02393329327</v>
      </c>
      <c r="O174" s="11">
        <f t="shared" si="18"/>
        <v>8.85</v>
      </c>
      <c r="P174" s="11">
        <f>(A174-B174)*(Equations!$G$69*$Q$121+C174)</f>
        <v>10.89230769</v>
      </c>
      <c r="Q174" s="11">
        <f>(A174-B174)*(Equations!$G$69*$R$121+C174)</f>
        <v>6.807692308</v>
      </c>
      <c r="R174" s="11"/>
      <c r="S174" s="11"/>
      <c r="T174" s="11"/>
      <c r="U174" s="11"/>
      <c r="V174" s="11"/>
      <c r="W174" s="11"/>
      <c r="X174" s="11"/>
      <c r="Y174" s="11"/>
      <c r="Z174" s="11"/>
      <c r="AA174" s="11"/>
      <c r="AB174" s="11"/>
      <c r="AC174" s="11"/>
    </row>
    <row r="175" ht="12.0" customHeight="1">
      <c r="A175" s="11">
        <f>VINMAX</f>
        <v>30</v>
      </c>
      <c r="B175" s="292">
        <f>VINMAX*((ROW()-129)/104)</f>
        <v>13.26923077</v>
      </c>
      <c r="C175" s="267">
        <f t="shared" si="11"/>
        <v>0.2</v>
      </c>
      <c r="D175" s="262">
        <f>B121</f>
        <v>70.4</v>
      </c>
      <c r="E175" s="252">
        <f t="shared" si="12"/>
        <v>4.207816092</v>
      </c>
      <c r="F175" s="267">
        <f>Equations!$G$69+C175</f>
        <v>0.52</v>
      </c>
      <c r="G175" s="267">
        <f t="shared" si="13"/>
        <v>0.52</v>
      </c>
      <c r="H175" s="267">
        <f t="shared" si="14"/>
        <v>0.32</v>
      </c>
      <c r="I175" s="266">
        <f>(COUTMAX/1000000)*(B175-B174)/H175</f>
        <v>0.002704326923</v>
      </c>
      <c r="J175" s="266">
        <f t="shared" si="19"/>
        <v>0.1243990385</v>
      </c>
      <c r="K175" s="291">
        <f t="shared" si="15"/>
        <v>124.3990385</v>
      </c>
      <c r="L175" s="268">
        <f t="shared" si="16"/>
        <v>0.6153846154</v>
      </c>
      <c r="M175" s="11">
        <f>1/COUTMAX*(E175/2-C175)*1000</f>
        <v>0.6346360153</v>
      </c>
      <c r="N175" s="289">
        <f t="shared" si="17"/>
        <v>0.02352764423</v>
      </c>
      <c r="O175" s="11">
        <f t="shared" si="18"/>
        <v>8.7</v>
      </c>
      <c r="P175" s="11">
        <f>(A175-B175)*(Equations!$G$69*$Q$121+C175)</f>
        <v>10.70769231</v>
      </c>
      <c r="Q175" s="11">
        <f>(A175-B175)*(Equations!$G$69*$R$121+C175)</f>
        <v>6.692307692</v>
      </c>
      <c r="R175" s="11"/>
      <c r="S175" s="11"/>
      <c r="T175" s="11"/>
      <c r="U175" s="11"/>
      <c r="V175" s="11"/>
      <c r="W175" s="11"/>
      <c r="X175" s="11"/>
      <c r="Y175" s="11"/>
      <c r="Z175" s="11"/>
      <c r="AA175" s="11"/>
      <c r="AB175" s="11"/>
      <c r="AC175" s="11"/>
    </row>
    <row r="176" ht="12.0" customHeight="1">
      <c r="A176" s="11">
        <f>VINMAX</f>
        <v>30</v>
      </c>
      <c r="B176" s="292">
        <f>VINMAX*((ROW()-129)/104)</f>
        <v>13.55769231</v>
      </c>
      <c r="C176" s="267">
        <f t="shared" si="11"/>
        <v>0.2</v>
      </c>
      <c r="D176" s="262">
        <f>B121</f>
        <v>70.4</v>
      </c>
      <c r="E176" s="252">
        <f t="shared" si="12"/>
        <v>4.281637427</v>
      </c>
      <c r="F176" s="267">
        <f>Equations!$G$69+C176</f>
        <v>0.52</v>
      </c>
      <c r="G176" s="267">
        <f t="shared" si="13"/>
        <v>0.52</v>
      </c>
      <c r="H176" s="267">
        <f t="shared" si="14"/>
        <v>0.32</v>
      </c>
      <c r="I176" s="266">
        <f>(COUTMAX/1000000)*(B176-B175)/H176</f>
        <v>0.002704326923</v>
      </c>
      <c r="J176" s="266">
        <f t="shared" si="19"/>
        <v>0.1271033654</v>
      </c>
      <c r="K176" s="291">
        <f t="shared" si="15"/>
        <v>127.1033654</v>
      </c>
      <c r="L176" s="268">
        <f t="shared" si="16"/>
        <v>0.6153846154</v>
      </c>
      <c r="M176" s="11">
        <f>1/COUTMAX*(E176/2-C176)*1000</f>
        <v>0.6469395712</v>
      </c>
      <c r="N176" s="289">
        <f t="shared" si="17"/>
        <v>0.02312199519</v>
      </c>
      <c r="O176" s="11">
        <f t="shared" si="18"/>
        <v>8.55</v>
      </c>
      <c r="P176" s="11">
        <f>(A176-B176)*(Equations!$G$69*$Q$121+C176)</f>
        <v>10.52307692</v>
      </c>
      <c r="Q176" s="11">
        <f>(A176-B176)*(Equations!$G$69*$R$121+C176)</f>
        <v>6.576923077</v>
      </c>
      <c r="R176" s="11"/>
      <c r="S176" s="11"/>
      <c r="T176" s="11"/>
      <c r="U176" s="11"/>
      <c r="V176" s="11"/>
      <c r="W176" s="11"/>
      <c r="X176" s="11"/>
      <c r="Y176" s="11"/>
      <c r="Z176" s="11"/>
      <c r="AA176" s="11"/>
      <c r="AB176" s="11"/>
      <c r="AC176" s="11"/>
    </row>
    <row r="177" ht="12.0" customHeight="1">
      <c r="A177" s="11">
        <f>VINMAX</f>
        <v>30</v>
      </c>
      <c r="B177" s="292">
        <f>VINMAX*((ROW()-129)/104)</f>
        <v>13.84615385</v>
      </c>
      <c r="C177" s="267">
        <f t="shared" si="11"/>
        <v>0.2</v>
      </c>
      <c r="D177" s="262">
        <f>B121</f>
        <v>70.4</v>
      </c>
      <c r="E177" s="252">
        <f t="shared" si="12"/>
        <v>4.358095238</v>
      </c>
      <c r="F177" s="267">
        <f>Equations!$G$69+C177</f>
        <v>0.52</v>
      </c>
      <c r="G177" s="267">
        <f t="shared" si="13"/>
        <v>0.52</v>
      </c>
      <c r="H177" s="267">
        <f t="shared" si="14"/>
        <v>0.32</v>
      </c>
      <c r="I177" s="266">
        <f>(COUTMAX/1000000)*(B177-B176)/H177</f>
        <v>0.002704326923</v>
      </c>
      <c r="J177" s="266">
        <f t="shared" si="19"/>
        <v>0.1298076923</v>
      </c>
      <c r="K177" s="291">
        <f t="shared" si="15"/>
        <v>129.8076923</v>
      </c>
      <c r="L177" s="268">
        <f t="shared" si="16"/>
        <v>0.6153846154</v>
      </c>
      <c r="M177" s="11">
        <f>1/COUTMAX*(E177/2-C177)*1000</f>
        <v>0.6596825397</v>
      </c>
      <c r="N177" s="289">
        <f t="shared" si="17"/>
        <v>0.02271634615</v>
      </c>
      <c r="O177" s="11">
        <f t="shared" si="18"/>
        <v>8.4</v>
      </c>
      <c r="P177" s="11">
        <f>(A177-B177)*(Equations!$G$69*$Q$121+C177)</f>
        <v>10.33846154</v>
      </c>
      <c r="Q177" s="11">
        <f>(A177-B177)*(Equations!$G$69*$R$121+C177)</f>
        <v>6.461538462</v>
      </c>
      <c r="R177" s="11"/>
      <c r="S177" s="11"/>
      <c r="T177" s="11"/>
      <c r="U177" s="11"/>
      <c r="V177" s="11"/>
      <c r="W177" s="11"/>
      <c r="X177" s="11"/>
      <c r="Y177" s="11"/>
      <c r="Z177" s="11"/>
      <c r="AA177" s="11"/>
      <c r="AB177" s="11"/>
      <c r="AC177" s="11"/>
    </row>
    <row r="178" ht="12.0" customHeight="1">
      <c r="A178" s="11">
        <f>VINMAX</f>
        <v>30</v>
      </c>
      <c r="B178" s="292">
        <f>VINMAX*((ROW()-129)/104)</f>
        <v>14.13461538</v>
      </c>
      <c r="C178" s="267">
        <f t="shared" si="11"/>
        <v>0.2</v>
      </c>
      <c r="D178" s="262">
        <f>B121</f>
        <v>70.4</v>
      </c>
      <c r="E178" s="252">
        <f t="shared" si="12"/>
        <v>4.437333333</v>
      </c>
      <c r="F178" s="267">
        <f>Equations!$G$69+C178</f>
        <v>0.52</v>
      </c>
      <c r="G178" s="267">
        <f t="shared" si="13"/>
        <v>0.52</v>
      </c>
      <c r="H178" s="267">
        <f t="shared" si="14"/>
        <v>0.32</v>
      </c>
      <c r="I178" s="266">
        <f>(COUTMAX/1000000)*(B178-B177)/H178</f>
        <v>0.002704326923</v>
      </c>
      <c r="J178" s="266">
        <f t="shared" si="19"/>
        <v>0.1325120192</v>
      </c>
      <c r="K178" s="291">
        <f t="shared" si="15"/>
        <v>132.5120192</v>
      </c>
      <c r="L178" s="268">
        <f t="shared" si="16"/>
        <v>0.6153846154</v>
      </c>
      <c r="M178" s="11">
        <f>1/COUTMAX*(E178/2-C178)*1000</f>
        <v>0.6728888889</v>
      </c>
      <c r="N178" s="289">
        <f t="shared" si="17"/>
        <v>0.02231069712</v>
      </c>
      <c r="O178" s="11">
        <f t="shared" si="18"/>
        <v>8.25</v>
      </c>
      <c r="P178" s="11">
        <f>(A178-B178)*(Equations!$G$69*$Q$121+C178)</f>
        <v>10.15384615</v>
      </c>
      <c r="Q178" s="11">
        <f>(A178-B178)*(Equations!$G$69*$R$121+C178)</f>
        <v>6.346153846</v>
      </c>
      <c r="R178" s="11"/>
      <c r="S178" s="11"/>
      <c r="T178" s="11"/>
      <c r="U178" s="11"/>
      <c r="V178" s="11"/>
      <c r="W178" s="11"/>
      <c r="X178" s="11"/>
      <c r="Y178" s="11"/>
      <c r="Z178" s="11"/>
      <c r="AA178" s="11"/>
      <c r="AB178" s="11"/>
      <c r="AC178" s="11"/>
    </row>
    <row r="179" ht="12.0" customHeight="1">
      <c r="A179" s="11">
        <f>VINMAX</f>
        <v>30</v>
      </c>
      <c r="B179" s="292">
        <f>VINMAX*((ROW()-129)/104)</f>
        <v>14.42307692</v>
      </c>
      <c r="C179" s="267">
        <f t="shared" si="11"/>
        <v>0.2</v>
      </c>
      <c r="D179" s="262">
        <f>B121</f>
        <v>70.4</v>
      </c>
      <c r="E179" s="252">
        <f t="shared" si="12"/>
        <v>4.519506173</v>
      </c>
      <c r="F179" s="267">
        <f>Equations!$G$69+C179</f>
        <v>0.52</v>
      </c>
      <c r="G179" s="267">
        <f t="shared" si="13"/>
        <v>0.52</v>
      </c>
      <c r="H179" s="267">
        <f t="shared" si="14"/>
        <v>0.32</v>
      </c>
      <c r="I179" s="266">
        <f>(COUTMAX/1000000)*(B179-B178)/H179</f>
        <v>0.002704326923</v>
      </c>
      <c r="J179" s="266">
        <f t="shared" si="19"/>
        <v>0.1352163462</v>
      </c>
      <c r="K179" s="291">
        <f t="shared" si="15"/>
        <v>135.2163462</v>
      </c>
      <c r="L179" s="268">
        <f t="shared" si="16"/>
        <v>0.6153846154</v>
      </c>
      <c r="M179" s="11">
        <f>1/COUTMAX*(E179/2-C179)*1000</f>
        <v>0.6865843621</v>
      </c>
      <c r="N179" s="289">
        <f t="shared" si="17"/>
        <v>0.02190504808</v>
      </c>
      <c r="O179" s="11">
        <f t="shared" si="18"/>
        <v>8.1</v>
      </c>
      <c r="P179" s="11">
        <f>(A179-B179)*(Equations!$G$69*$Q$121+C179)</f>
        <v>9.969230769</v>
      </c>
      <c r="Q179" s="11">
        <f>(A179-B179)*(Equations!$G$69*$R$121+C179)</f>
        <v>6.230769231</v>
      </c>
      <c r="R179" s="11"/>
      <c r="S179" s="11"/>
      <c r="T179" s="11"/>
      <c r="U179" s="11"/>
      <c r="V179" s="11"/>
      <c r="W179" s="11"/>
      <c r="X179" s="11"/>
      <c r="Y179" s="11"/>
      <c r="Z179" s="11"/>
      <c r="AA179" s="11"/>
      <c r="AB179" s="11"/>
      <c r="AC179" s="11"/>
    </row>
    <row r="180" ht="12.0" customHeight="1">
      <c r="A180" s="11">
        <f>VINMAX</f>
        <v>30</v>
      </c>
      <c r="B180" s="292">
        <f>VINMAX*((ROW()-129)/104)</f>
        <v>14.71153846</v>
      </c>
      <c r="C180" s="267">
        <f t="shared" si="11"/>
        <v>0.2</v>
      </c>
      <c r="D180" s="262">
        <f>B121</f>
        <v>70.4</v>
      </c>
      <c r="E180" s="252">
        <f t="shared" si="12"/>
        <v>4.604779874</v>
      </c>
      <c r="F180" s="267">
        <f>Equations!$G$69+C180</f>
        <v>0.52</v>
      </c>
      <c r="G180" s="267">
        <f t="shared" si="13"/>
        <v>0.52</v>
      </c>
      <c r="H180" s="267">
        <f t="shared" si="14"/>
        <v>0.32</v>
      </c>
      <c r="I180" s="266">
        <f>(COUTMAX/1000000)*(B180-B179)/H180</f>
        <v>0.002704326923</v>
      </c>
      <c r="J180" s="266">
        <f t="shared" si="19"/>
        <v>0.1379206731</v>
      </c>
      <c r="K180" s="291">
        <f t="shared" si="15"/>
        <v>137.9206731</v>
      </c>
      <c r="L180" s="268">
        <f t="shared" si="16"/>
        <v>0.6153846154</v>
      </c>
      <c r="M180" s="11">
        <f>1/COUTMAX*(E180/2-C180)*1000</f>
        <v>0.7007966457</v>
      </c>
      <c r="N180" s="289">
        <f t="shared" si="17"/>
        <v>0.02149939904</v>
      </c>
      <c r="O180" s="11">
        <f t="shared" si="18"/>
        <v>7.95</v>
      </c>
      <c r="P180" s="11">
        <f>(A180-B180)*(Equations!$G$69*$Q$121+C180)</f>
        <v>9.784615385</v>
      </c>
      <c r="Q180" s="11">
        <f>(A180-B180)*(Equations!$G$69*$R$121+C180)</f>
        <v>6.115384615</v>
      </c>
      <c r="R180" s="11"/>
      <c r="S180" s="11"/>
      <c r="T180" s="11"/>
      <c r="U180" s="11"/>
      <c r="V180" s="11"/>
      <c r="W180" s="11"/>
      <c r="X180" s="11"/>
      <c r="Y180" s="11"/>
      <c r="Z180" s="11"/>
      <c r="AA180" s="11"/>
      <c r="AB180" s="11"/>
      <c r="AC180" s="11"/>
    </row>
    <row r="181" ht="12.0" customHeight="1">
      <c r="A181" s="11">
        <f>VINMAX</f>
        <v>30</v>
      </c>
      <c r="B181" s="292">
        <f>VINMAX*((ROW()-129)/104)</f>
        <v>15</v>
      </c>
      <c r="C181" s="267">
        <f t="shared" si="11"/>
        <v>0.2</v>
      </c>
      <c r="D181" s="262">
        <f>B121</f>
        <v>70.4</v>
      </c>
      <c r="E181" s="252">
        <f t="shared" si="12"/>
        <v>4.693333333</v>
      </c>
      <c r="F181" s="267">
        <f>Equations!$G$69+C181</f>
        <v>0.52</v>
      </c>
      <c r="G181" s="267">
        <f t="shared" si="13"/>
        <v>0.52</v>
      </c>
      <c r="H181" s="267">
        <f t="shared" si="14"/>
        <v>0.32</v>
      </c>
      <c r="I181" s="266">
        <f>(COUTMAX/1000000)*(B181-B180)/H181</f>
        <v>0.002704326923</v>
      </c>
      <c r="J181" s="266">
        <f t="shared" si="19"/>
        <v>0.140625</v>
      </c>
      <c r="K181" s="291">
        <f t="shared" si="15"/>
        <v>140.625</v>
      </c>
      <c r="L181" s="268">
        <f t="shared" si="16"/>
        <v>0.6153846154</v>
      </c>
      <c r="M181" s="11">
        <f>1/COUTMAX*(E181/2-C181)*1000</f>
        <v>0.7155555556</v>
      </c>
      <c r="N181" s="289">
        <f t="shared" si="17"/>
        <v>0.02109375</v>
      </c>
      <c r="O181" s="11">
        <f t="shared" si="18"/>
        <v>7.8</v>
      </c>
      <c r="P181" s="11">
        <f>(A181-B181)*(Equations!$G$69*$Q$121+C181)</f>
        <v>9.6</v>
      </c>
      <c r="Q181" s="11">
        <f>(A181-B181)*(Equations!$G$69*$R$121+C181)</f>
        <v>6</v>
      </c>
      <c r="R181" s="11"/>
      <c r="S181" s="11"/>
      <c r="T181" s="11"/>
      <c r="U181" s="11"/>
      <c r="V181" s="11"/>
      <c r="W181" s="11"/>
      <c r="X181" s="11"/>
      <c r="Y181" s="11"/>
      <c r="Z181" s="11"/>
      <c r="AA181" s="11"/>
      <c r="AB181" s="11"/>
      <c r="AC181" s="11"/>
    </row>
    <row r="182" ht="12.0" customHeight="1">
      <c r="A182" s="11">
        <f>VINMAX</f>
        <v>30</v>
      </c>
      <c r="B182" s="292">
        <f>VINMAX*((ROW()-129)/104)</f>
        <v>15.28846154</v>
      </c>
      <c r="C182" s="267">
        <f t="shared" si="11"/>
        <v>0.2</v>
      </c>
      <c r="D182" s="262">
        <f>B121</f>
        <v>70.4</v>
      </c>
      <c r="E182" s="252">
        <f t="shared" si="12"/>
        <v>4.785359477</v>
      </c>
      <c r="F182" s="267">
        <f>Equations!$G$69+C182</f>
        <v>0.52</v>
      </c>
      <c r="G182" s="267">
        <f t="shared" si="13"/>
        <v>0.52</v>
      </c>
      <c r="H182" s="267">
        <f t="shared" si="14"/>
        <v>0.32</v>
      </c>
      <c r="I182" s="266">
        <f>(COUTMAX/1000000)*(B182-B181)/H182</f>
        <v>0.002704326923</v>
      </c>
      <c r="J182" s="266">
        <f t="shared" si="19"/>
        <v>0.1433293269</v>
      </c>
      <c r="K182" s="291">
        <f t="shared" si="15"/>
        <v>143.3293269</v>
      </c>
      <c r="L182" s="268">
        <f t="shared" si="16"/>
        <v>0.6153846154</v>
      </c>
      <c r="M182" s="11">
        <f>1/COUTMAX*(E182/2-C182)*1000</f>
        <v>0.7308932462</v>
      </c>
      <c r="N182" s="289">
        <f t="shared" si="17"/>
        <v>0.02068810096</v>
      </c>
      <c r="O182" s="11">
        <f t="shared" si="18"/>
        <v>7.65</v>
      </c>
      <c r="P182" s="11">
        <f>(A182-B182)*(Equations!$G$69*$Q$121+C182)</f>
        <v>9.415384615</v>
      </c>
      <c r="Q182" s="11">
        <f>(A182-B182)*(Equations!$G$69*$R$121+C182)</f>
        <v>5.884615385</v>
      </c>
      <c r="R182" s="11"/>
      <c r="S182" s="11"/>
      <c r="T182" s="11"/>
      <c r="U182" s="11"/>
      <c r="V182" s="11"/>
      <c r="W182" s="11"/>
      <c r="X182" s="11"/>
      <c r="Y182" s="11"/>
      <c r="Z182" s="11"/>
      <c r="AA182" s="11"/>
      <c r="AB182" s="11"/>
      <c r="AC182" s="11"/>
    </row>
    <row r="183" ht="12.0" customHeight="1">
      <c r="A183" s="11">
        <f>VINMAX</f>
        <v>30</v>
      </c>
      <c r="B183" s="292">
        <f>VINMAX*((ROW()-129)/104)</f>
        <v>15.57692308</v>
      </c>
      <c r="C183" s="267">
        <f t="shared" si="11"/>
        <v>0.2</v>
      </c>
      <c r="D183" s="262">
        <f>B121</f>
        <v>70.4</v>
      </c>
      <c r="E183" s="252">
        <f t="shared" si="12"/>
        <v>4.881066667</v>
      </c>
      <c r="F183" s="267">
        <f>Equations!$G$69+C183</f>
        <v>0.52</v>
      </c>
      <c r="G183" s="267">
        <f t="shared" si="13"/>
        <v>0.52</v>
      </c>
      <c r="H183" s="267">
        <f t="shared" si="14"/>
        <v>0.32</v>
      </c>
      <c r="I183" s="266">
        <f>(COUTMAX/1000000)*(B183-B182)/H183</f>
        <v>0.002704326923</v>
      </c>
      <c r="J183" s="266">
        <f t="shared" si="19"/>
        <v>0.1460336538</v>
      </c>
      <c r="K183" s="291">
        <f t="shared" si="15"/>
        <v>146.0336538</v>
      </c>
      <c r="L183" s="268">
        <f t="shared" si="16"/>
        <v>0.6153846154</v>
      </c>
      <c r="M183" s="11">
        <f>1/COUTMAX*(E183/2-C183)*1000</f>
        <v>0.7468444444</v>
      </c>
      <c r="N183" s="289">
        <f t="shared" si="17"/>
        <v>0.02028245192</v>
      </c>
      <c r="O183" s="11">
        <f t="shared" si="18"/>
        <v>7.5</v>
      </c>
      <c r="P183" s="11">
        <f>(A183-B183)*(Equations!$G$69*$Q$121+C183)</f>
        <v>9.230769231</v>
      </c>
      <c r="Q183" s="11">
        <f>(A183-B183)*(Equations!$G$69*$R$121+C183)</f>
        <v>5.769230769</v>
      </c>
      <c r="R183" s="11"/>
      <c r="S183" s="11"/>
      <c r="T183" s="11"/>
      <c r="U183" s="11"/>
      <c r="V183" s="11"/>
      <c r="W183" s="11"/>
      <c r="X183" s="11"/>
      <c r="Y183" s="11"/>
      <c r="Z183" s="11"/>
      <c r="AA183" s="11"/>
      <c r="AB183" s="11"/>
      <c r="AC183" s="11"/>
    </row>
    <row r="184" ht="12.0" customHeight="1">
      <c r="A184" s="11">
        <f>VINMAX</f>
        <v>30</v>
      </c>
      <c r="B184" s="292">
        <f>VINMAX*((ROW()-129)/104)</f>
        <v>15.86538462</v>
      </c>
      <c r="C184" s="267">
        <f t="shared" si="11"/>
        <v>0.2</v>
      </c>
      <c r="D184" s="262">
        <f>B121</f>
        <v>70.4</v>
      </c>
      <c r="E184" s="252">
        <f t="shared" si="12"/>
        <v>4.980680272</v>
      </c>
      <c r="F184" s="267">
        <f>Equations!$G$69+C184</f>
        <v>0.52</v>
      </c>
      <c r="G184" s="267">
        <f t="shared" si="13"/>
        <v>0.52</v>
      </c>
      <c r="H184" s="267">
        <f t="shared" si="14"/>
        <v>0.32</v>
      </c>
      <c r="I184" s="266">
        <f>(COUTMAX/1000000)*(B184-B183)/H184</f>
        <v>0.002704326923</v>
      </c>
      <c r="J184" s="266">
        <f t="shared" si="19"/>
        <v>0.1487379808</v>
      </c>
      <c r="K184" s="291">
        <f t="shared" si="15"/>
        <v>148.7379808</v>
      </c>
      <c r="L184" s="268">
        <f t="shared" si="16"/>
        <v>0.6153846154</v>
      </c>
      <c r="M184" s="11">
        <f>1/COUTMAX*(E184/2-C184)*1000</f>
        <v>0.763446712</v>
      </c>
      <c r="N184" s="289">
        <f t="shared" si="17"/>
        <v>0.01987680288</v>
      </c>
      <c r="O184" s="11">
        <f t="shared" si="18"/>
        <v>7.35</v>
      </c>
      <c r="P184" s="11">
        <f>(A184-B184)*(Equations!$G$69*$Q$121+C184)</f>
        <v>9.046153846</v>
      </c>
      <c r="Q184" s="11">
        <f>(A184-B184)*(Equations!$G$69*$R$121+C184)</f>
        <v>5.653846154</v>
      </c>
      <c r="R184" s="11"/>
      <c r="S184" s="11"/>
      <c r="T184" s="11"/>
      <c r="U184" s="11"/>
      <c r="V184" s="11"/>
      <c r="W184" s="11"/>
      <c r="X184" s="11"/>
      <c r="Y184" s="11"/>
      <c r="Z184" s="11"/>
      <c r="AA184" s="11"/>
      <c r="AB184" s="11"/>
      <c r="AC184" s="11"/>
    </row>
    <row r="185" ht="12.0" customHeight="1">
      <c r="A185" s="11">
        <f>VINMAX</f>
        <v>30</v>
      </c>
      <c r="B185" s="292">
        <f>VINMAX*((ROW()-129)/104)</f>
        <v>16.15384615</v>
      </c>
      <c r="C185" s="267">
        <f t="shared" si="11"/>
        <v>0.2</v>
      </c>
      <c r="D185" s="262">
        <f>B121</f>
        <v>70.4</v>
      </c>
      <c r="E185" s="252">
        <f t="shared" si="12"/>
        <v>5.084444444</v>
      </c>
      <c r="F185" s="267">
        <f>Equations!$G$69+C185</f>
        <v>0.52</v>
      </c>
      <c r="G185" s="267">
        <f t="shared" si="13"/>
        <v>0.52</v>
      </c>
      <c r="H185" s="267">
        <f t="shared" si="14"/>
        <v>0.32</v>
      </c>
      <c r="I185" s="266">
        <f>(COUTMAX/1000000)*(B185-B184)/H185</f>
        <v>0.002704326923</v>
      </c>
      <c r="J185" s="266">
        <f t="shared" si="19"/>
        <v>0.1514423077</v>
      </c>
      <c r="K185" s="291">
        <f t="shared" si="15"/>
        <v>151.4423077</v>
      </c>
      <c r="L185" s="268">
        <f t="shared" si="16"/>
        <v>0.6153846154</v>
      </c>
      <c r="M185" s="11">
        <f>1/COUTMAX*(E185/2-C185)*1000</f>
        <v>0.7807407407</v>
      </c>
      <c r="N185" s="289">
        <f t="shared" si="17"/>
        <v>0.01947115385</v>
      </c>
      <c r="O185" s="11">
        <f t="shared" si="18"/>
        <v>7.2</v>
      </c>
      <c r="P185" s="11">
        <f>(A185-B185)*(Equations!$G$69*$Q$121+C185)</f>
        <v>8.861538462</v>
      </c>
      <c r="Q185" s="11">
        <f>(A185-B185)*(Equations!$G$69*$R$121+C185)</f>
        <v>5.538461538</v>
      </c>
      <c r="R185" s="11"/>
      <c r="S185" s="11"/>
      <c r="T185" s="11"/>
      <c r="U185" s="11"/>
      <c r="V185" s="11"/>
      <c r="W185" s="11"/>
      <c r="X185" s="11"/>
      <c r="Y185" s="11"/>
      <c r="Z185" s="11"/>
      <c r="AA185" s="11"/>
      <c r="AB185" s="11"/>
      <c r="AC185" s="11"/>
    </row>
    <row r="186" ht="12.0" customHeight="1">
      <c r="A186" s="11">
        <f>VINMAX</f>
        <v>30</v>
      </c>
      <c r="B186" s="292">
        <f>VINMAX*((ROW()-129)/104)</f>
        <v>16.44230769</v>
      </c>
      <c r="C186" s="267">
        <f t="shared" si="11"/>
        <v>0.2</v>
      </c>
      <c r="D186" s="262">
        <f>B121</f>
        <v>70.4</v>
      </c>
      <c r="E186" s="252">
        <f t="shared" si="12"/>
        <v>5.192624113</v>
      </c>
      <c r="F186" s="267">
        <f>Equations!$G$69+C186</f>
        <v>0.52</v>
      </c>
      <c r="G186" s="267">
        <f t="shared" si="13"/>
        <v>0.52</v>
      </c>
      <c r="H186" s="267">
        <f t="shared" si="14"/>
        <v>0.32</v>
      </c>
      <c r="I186" s="266">
        <f>(COUTMAX/1000000)*(B186-B185)/H186</f>
        <v>0.002704326923</v>
      </c>
      <c r="J186" s="266">
        <f t="shared" si="19"/>
        <v>0.1541466346</v>
      </c>
      <c r="K186" s="291">
        <f t="shared" si="15"/>
        <v>154.1466346</v>
      </c>
      <c r="L186" s="268">
        <f t="shared" si="16"/>
        <v>0.6153846154</v>
      </c>
      <c r="M186" s="11">
        <f>1/COUTMAX*(E186/2-C186)*1000</f>
        <v>0.7987706856</v>
      </c>
      <c r="N186" s="289">
        <f t="shared" si="17"/>
        <v>0.01906550481</v>
      </c>
      <c r="O186" s="11">
        <f t="shared" si="18"/>
        <v>7.05</v>
      </c>
      <c r="P186" s="11">
        <f>(A186-B186)*(Equations!$G$69*$Q$121+C186)</f>
        <v>8.676923077</v>
      </c>
      <c r="Q186" s="11">
        <f>(A186-B186)*(Equations!$G$69*$R$121+C186)</f>
        <v>5.423076923</v>
      </c>
      <c r="R186" s="11"/>
      <c r="S186" s="11"/>
      <c r="T186" s="11"/>
      <c r="U186" s="11"/>
      <c r="V186" s="11"/>
      <c r="W186" s="11"/>
      <c r="X186" s="11"/>
      <c r="Y186" s="11"/>
      <c r="Z186" s="11"/>
      <c r="AA186" s="11"/>
      <c r="AB186" s="11"/>
      <c r="AC186" s="11"/>
    </row>
    <row r="187" ht="12.0" customHeight="1">
      <c r="A187" s="11">
        <f>VINMAX</f>
        <v>30</v>
      </c>
      <c r="B187" s="292">
        <f>VINMAX*((ROW()-129)/104)</f>
        <v>16.73076923</v>
      </c>
      <c r="C187" s="267">
        <f t="shared" si="11"/>
        <v>0.2</v>
      </c>
      <c r="D187" s="262">
        <f>B121</f>
        <v>70.4</v>
      </c>
      <c r="E187" s="252">
        <f t="shared" si="12"/>
        <v>5.305507246</v>
      </c>
      <c r="F187" s="267">
        <f>Equations!$G$69+C187</f>
        <v>0.52</v>
      </c>
      <c r="G187" s="267">
        <f t="shared" si="13"/>
        <v>0.52</v>
      </c>
      <c r="H187" s="267">
        <f t="shared" si="14"/>
        <v>0.32</v>
      </c>
      <c r="I187" s="266">
        <f>(COUTMAX/1000000)*(B187-B186)/H187</f>
        <v>0.002704326923</v>
      </c>
      <c r="J187" s="266">
        <f t="shared" si="19"/>
        <v>0.1568509615</v>
      </c>
      <c r="K187" s="291">
        <f t="shared" si="15"/>
        <v>156.8509615</v>
      </c>
      <c r="L187" s="268">
        <f t="shared" si="16"/>
        <v>0.6153846154</v>
      </c>
      <c r="M187" s="11">
        <f>1/COUTMAX*(E187/2-C187)*1000</f>
        <v>0.8175845411</v>
      </c>
      <c r="N187" s="289">
        <f t="shared" si="17"/>
        <v>0.01865985577</v>
      </c>
      <c r="O187" s="11">
        <f t="shared" si="18"/>
        <v>6.9</v>
      </c>
      <c r="P187" s="11">
        <f>(A187-B187)*(Equations!$G$69*$Q$121+C187)</f>
        <v>8.492307692</v>
      </c>
      <c r="Q187" s="11">
        <f>(A187-B187)*(Equations!$G$69*$R$121+C187)</f>
        <v>5.307692308</v>
      </c>
      <c r="R187" s="11"/>
      <c r="S187" s="11"/>
      <c r="T187" s="11"/>
      <c r="U187" s="11"/>
      <c r="V187" s="11"/>
      <c r="W187" s="11"/>
      <c r="X187" s="11"/>
      <c r="Y187" s="11"/>
      <c r="Z187" s="11"/>
      <c r="AA187" s="11"/>
      <c r="AB187" s="11"/>
      <c r="AC187" s="11"/>
    </row>
    <row r="188" ht="12.0" customHeight="1">
      <c r="A188" s="11">
        <f>VINMAX</f>
        <v>30</v>
      </c>
      <c r="B188" s="292">
        <f>VINMAX*((ROW()-129)/104)</f>
        <v>17.01923077</v>
      </c>
      <c r="C188" s="267">
        <f t="shared" si="11"/>
        <v>0.2</v>
      </c>
      <c r="D188" s="262">
        <f>B121</f>
        <v>70.4</v>
      </c>
      <c r="E188" s="252">
        <f t="shared" si="12"/>
        <v>5.423407407</v>
      </c>
      <c r="F188" s="267">
        <f>Equations!$G$69+C188</f>
        <v>0.52</v>
      </c>
      <c r="G188" s="267">
        <f t="shared" si="13"/>
        <v>0.52</v>
      </c>
      <c r="H188" s="267">
        <f t="shared" si="14"/>
        <v>0.32</v>
      </c>
      <c r="I188" s="266">
        <f>(COUTMAX/1000000)*(B188-B187)/H188</f>
        <v>0.002704326923</v>
      </c>
      <c r="J188" s="266">
        <f t="shared" si="19"/>
        <v>0.1595552885</v>
      </c>
      <c r="K188" s="291">
        <f t="shared" si="15"/>
        <v>159.5552885</v>
      </c>
      <c r="L188" s="268">
        <f t="shared" si="16"/>
        <v>0.6153846154</v>
      </c>
      <c r="M188" s="11">
        <f>1/COUTMAX*(E188/2-C188)*1000</f>
        <v>0.8372345679</v>
      </c>
      <c r="N188" s="289">
        <f t="shared" si="17"/>
        <v>0.01825420673</v>
      </c>
      <c r="O188" s="11">
        <f t="shared" si="18"/>
        <v>6.75</v>
      </c>
      <c r="P188" s="11">
        <f>(A188-B188)*(Equations!$G$69*$Q$121+C188)</f>
        <v>8.307692308</v>
      </c>
      <c r="Q188" s="11">
        <f>(A188-B188)*(Equations!$G$69*$R$121+C188)</f>
        <v>5.192307692</v>
      </c>
      <c r="R188" s="11"/>
      <c r="S188" s="11"/>
      <c r="T188" s="11"/>
      <c r="U188" s="11"/>
      <c r="V188" s="11"/>
      <c r="W188" s="11"/>
      <c r="X188" s="11"/>
      <c r="Y188" s="11"/>
      <c r="Z188" s="11"/>
      <c r="AA188" s="11"/>
      <c r="AB188" s="11"/>
      <c r="AC188" s="11"/>
    </row>
    <row r="189" ht="12.0" customHeight="1">
      <c r="A189" s="11">
        <f>VINMAX</f>
        <v>30</v>
      </c>
      <c r="B189" s="292">
        <f>VINMAX*((ROW()-129)/104)</f>
        <v>17.30769231</v>
      </c>
      <c r="C189" s="267">
        <f t="shared" si="11"/>
        <v>0.2</v>
      </c>
      <c r="D189" s="262">
        <f>B121</f>
        <v>70.4</v>
      </c>
      <c r="E189" s="252">
        <f t="shared" si="12"/>
        <v>5.546666667</v>
      </c>
      <c r="F189" s="267">
        <f>Equations!$G$69+C189</f>
        <v>0.52</v>
      </c>
      <c r="G189" s="267">
        <f t="shared" si="13"/>
        <v>0.52</v>
      </c>
      <c r="H189" s="267">
        <f t="shared" si="14"/>
        <v>0.32</v>
      </c>
      <c r="I189" s="266">
        <f>(COUTMAX/1000000)*(B189-B188)/H189</f>
        <v>0.002704326923</v>
      </c>
      <c r="J189" s="266">
        <f t="shared" si="19"/>
        <v>0.1622596154</v>
      </c>
      <c r="K189" s="291">
        <f t="shared" si="15"/>
        <v>162.2596154</v>
      </c>
      <c r="L189" s="268">
        <f t="shared" si="16"/>
        <v>0.6153846154</v>
      </c>
      <c r="M189" s="11">
        <f>1/COUTMAX*(E189/2-C189)*1000</f>
        <v>0.8577777778</v>
      </c>
      <c r="N189" s="289">
        <f t="shared" si="17"/>
        <v>0.01784855769</v>
      </c>
      <c r="O189" s="11">
        <f t="shared" si="18"/>
        <v>6.6</v>
      </c>
      <c r="P189" s="11">
        <f>(A189-B189)*(Equations!$G$69*$Q$121+C189)</f>
        <v>8.123076923</v>
      </c>
      <c r="Q189" s="11">
        <f>(A189-B189)*(Equations!$G$69*$R$121+C189)</f>
        <v>5.076923077</v>
      </c>
      <c r="R189" s="11"/>
      <c r="S189" s="11"/>
      <c r="T189" s="11"/>
      <c r="U189" s="11"/>
      <c r="V189" s="11"/>
      <c r="W189" s="11"/>
      <c r="X189" s="11"/>
      <c r="Y189" s="11"/>
      <c r="Z189" s="11"/>
      <c r="AA189" s="11"/>
      <c r="AB189" s="11"/>
      <c r="AC189" s="11"/>
    </row>
    <row r="190" ht="12.0" customHeight="1">
      <c r="A190" s="11">
        <f>VINMAX</f>
        <v>30</v>
      </c>
      <c r="B190" s="292">
        <f>VINMAX*((ROW()-129)/104)</f>
        <v>17.59615385</v>
      </c>
      <c r="C190" s="267">
        <f t="shared" si="11"/>
        <v>0.2</v>
      </c>
      <c r="D190" s="262">
        <f>B121</f>
        <v>70.4</v>
      </c>
      <c r="E190" s="252">
        <f t="shared" si="12"/>
        <v>5.675658915</v>
      </c>
      <c r="F190" s="267">
        <f>Equations!$G$69+C190</f>
        <v>0.52</v>
      </c>
      <c r="G190" s="267">
        <f t="shared" si="13"/>
        <v>0.52</v>
      </c>
      <c r="H190" s="267">
        <f t="shared" si="14"/>
        <v>0.32</v>
      </c>
      <c r="I190" s="266">
        <f>(COUTMAX/1000000)*(B190-B189)/H190</f>
        <v>0.002704326923</v>
      </c>
      <c r="J190" s="266">
        <f t="shared" si="19"/>
        <v>0.1649639423</v>
      </c>
      <c r="K190" s="291">
        <f t="shared" si="15"/>
        <v>164.9639423</v>
      </c>
      <c r="L190" s="268">
        <f t="shared" si="16"/>
        <v>0.6153846154</v>
      </c>
      <c r="M190" s="11">
        <f>1/COUTMAX*(E190/2-C190)*1000</f>
        <v>0.8792764858</v>
      </c>
      <c r="N190" s="289">
        <f t="shared" si="17"/>
        <v>0.01744290865</v>
      </c>
      <c r="O190" s="11">
        <f t="shared" si="18"/>
        <v>6.45</v>
      </c>
      <c r="P190" s="11">
        <f>(A190-B190)*(Equations!$G$69*$Q$121+C190)</f>
        <v>7.938461538</v>
      </c>
      <c r="Q190" s="11">
        <f>(A190-B190)*(Equations!$G$69*$R$121+C190)</f>
        <v>4.961538462</v>
      </c>
      <c r="R190" s="11"/>
      <c r="S190" s="11"/>
      <c r="T190" s="11"/>
      <c r="U190" s="11"/>
      <c r="V190" s="11"/>
      <c r="W190" s="11"/>
      <c r="X190" s="11"/>
      <c r="Y190" s="11"/>
      <c r="Z190" s="11"/>
      <c r="AA190" s="11"/>
      <c r="AB190" s="11"/>
      <c r="AC190" s="11"/>
    </row>
    <row r="191" ht="12.0" customHeight="1">
      <c r="A191" s="11">
        <f>VINMAX</f>
        <v>30</v>
      </c>
      <c r="B191" s="292">
        <f>VINMAX*((ROW()-129)/104)</f>
        <v>17.88461538</v>
      </c>
      <c r="C191" s="267">
        <f t="shared" si="11"/>
        <v>0.2</v>
      </c>
      <c r="D191" s="262">
        <f>B121</f>
        <v>70.4</v>
      </c>
      <c r="E191" s="252">
        <f t="shared" si="12"/>
        <v>5.810793651</v>
      </c>
      <c r="F191" s="267">
        <f>Equations!$G$69+C191</f>
        <v>0.52</v>
      </c>
      <c r="G191" s="267">
        <f t="shared" si="13"/>
        <v>0.52</v>
      </c>
      <c r="H191" s="267">
        <f t="shared" si="14"/>
        <v>0.32</v>
      </c>
      <c r="I191" s="266">
        <f>(COUTMAX/1000000)*(B191-B190)/H191</f>
        <v>0.002704326923</v>
      </c>
      <c r="J191" s="266">
        <f t="shared" si="19"/>
        <v>0.1676682692</v>
      </c>
      <c r="K191" s="291">
        <f t="shared" si="15"/>
        <v>167.6682692</v>
      </c>
      <c r="L191" s="268">
        <f t="shared" si="16"/>
        <v>0.6153846154</v>
      </c>
      <c r="M191" s="11">
        <f>1/COUTMAX*(E191/2-C191)*1000</f>
        <v>0.9017989418</v>
      </c>
      <c r="N191" s="289">
        <f t="shared" si="17"/>
        <v>0.01703725962</v>
      </c>
      <c r="O191" s="11">
        <f t="shared" si="18"/>
        <v>6.3</v>
      </c>
      <c r="P191" s="11">
        <f>(A191-B191)*(Equations!$G$69*$Q$121+C191)</f>
        <v>7.753846154</v>
      </c>
      <c r="Q191" s="11">
        <f>(A191-B191)*(Equations!$G$69*$R$121+C191)</f>
        <v>4.846153846</v>
      </c>
      <c r="R191" s="11"/>
      <c r="S191" s="11"/>
      <c r="T191" s="11"/>
      <c r="U191" s="11"/>
      <c r="V191" s="11"/>
      <c r="W191" s="11"/>
      <c r="X191" s="11"/>
      <c r="Y191" s="11"/>
      <c r="Z191" s="11"/>
      <c r="AA191" s="11"/>
      <c r="AB191" s="11"/>
      <c r="AC191" s="11"/>
    </row>
    <row r="192" ht="12.0" customHeight="1">
      <c r="A192" s="11">
        <f>VINMAX</f>
        <v>30</v>
      </c>
      <c r="B192" s="292">
        <f>VINMAX*((ROW()-129)/104)</f>
        <v>18.17307692</v>
      </c>
      <c r="C192" s="267">
        <f t="shared" si="11"/>
        <v>0.2</v>
      </c>
      <c r="D192" s="262">
        <f>B121</f>
        <v>70.4</v>
      </c>
      <c r="E192" s="252">
        <f t="shared" si="12"/>
        <v>5.952520325</v>
      </c>
      <c r="F192" s="267">
        <f>Equations!$G$69+C192</f>
        <v>0.52</v>
      </c>
      <c r="G192" s="267">
        <f t="shared" si="13"/>
        <v>0.52</v>
      </c>
      <c r="H192" s="267">
        <f t="shared" si="14"/>
        <v>0.32</v>
      </c>
      <c r="I192" s="266">
        <f>(COUTMAX/1000000)*(B192-B191)/H192</f>
        <v>0.002704326923</v>
      </c>
      <c r="J192" s="266">
        <f t="shared" si="19"/>
        <v>0.1703725962</v>
      </c>
      <c r="K192" s="291">
        <f t="shared" si="15"/>
        <v>170.3725962</v>
      </c>
      <c r="L192" s="268">
        <f t="shared" si="16"/>
        <v>0.6153846154</v>
      </c>
      <c r="M192" s="11">
        <f>1/COUTMAX*(E192/2-C192)*1000</f>
        <v>0.9254200542</v>
      </c>
      <c r="N192" s="289">
        <f t="shared" si="17"/>
        <v>0.01663161058</v>
      </c>
      <c r="O192" s="11">
        <f t="shared" si="18"/>
        <v>6.15</v>
      </c>
      <c r="P192" s="11">
        <f>(A192-B192)*(Equations!$G$69*$Q$121+C192)</f>
        <v>7.569230769</v>
      </c>
      <c r="Q192" s="11">
        <f>(A192-B192)*(Equations!$G$69*$R$121+C192)</f>
        <v>4.730769231</v>
      </c>
      <c r="R192" s="11"/>
      <c r="S192" s="11"/>
      <c r="T192" s="11"/>
      <c r="U192" s="11"/>
      <c r="V192" s="11"/>
      <c r="W192" s="11"/>
      <c r="X192" s="11"/>
      <c r="Y192" s="11"/>
      <c r="Z192" s="11"/>
      <c r="AA192" s="11"/>
      <c r="AB192" s="11"/>
      <c r="AC192" s="11"/>
    </row>
    <row r="193" ht="12.0" customHeight="1">
      <c r="A193" s="11">
        <f>VINMAX</f>
        <v>30</v>
      </c>
      <c r="B193" s="292">
        <f>VINMAX*((ROW()-129)/104)</f>
        <v>18.46153846</v>
      </c>
      <c r="C193" s="267">
        <f t="shared" si="11"/>
        <v>0.2</v>
      </c>
      <c r="D193" s="262">
        <f>B121</f>
        <v>70.4</v>
      </c>
      <c r="E193" s="252">
        <f t="shared" si="12"/>
        <v>6.101333333</v>
      </c>
      <c r="F193" s="267">
        <f>Equations!$G$69+C193</f>
        <v>0.52</v>
      </c>
      <c r="G193" s="267">
        <f t="shared" si="13"/>
        <v>0.52</v>
      </c>
      <c r="H193" s="267">
        <f t="shared" si="14"/>
        <v>0.32</v>
      </c>
      <c r="I193" s="266">
        <f>(COUTMAX/1000000)*(B193-B192)/H193</f>
        <v>0.002704326923</v>
      </c>
      <c r="J193" s="266">
        <f t="shared" si="19"/>
        <v>0.1730769231</v>
      </c>
      <c r="K193" s="291">
        <f t="shared" si="15"/>
        <v>173.0769231</v>
      </c>
      <c r="L193" s="268">
        <f t="shared" si="16"/>
        <v>0.6153846154</v>
      </c>
      <c r="M193" s="11">
        <f>1/COUTMAX*(E193/2-C193)*1000</f>
        <v>0.9502222222</v>
      </c>
      <c r="N193" s="289">
        <f t="shared" si="17"/>
        <v>0.01622596154</v>
      </c>
      <c r="O193" s="11">
        <f t="shared" si="18"/>
        <v>6</v>
      </c>
      <c r="P193" s="11">
        <f>(A193-B193)*(Equations!$G$69*$Q$121+C193)</f>
        <v>7.384615385</v>
      </c>
      <c r="Q193" s="11">
        <f>(A193-B193)*(Equations!$G$69*$R$121+C193)</f>
        <v>4.615384615</v>
      </c>
      <c r="R193" s="11"/>
      <c r="S193" s="11"/>
      <c r="T193" s="11"/>
      <c r="U193" s="11"/>
      <c r="V193" s="11"/>
      <c r="W193" s="11"/>
      <c r="X193" s="11"/>
      <c r="Y193" s="11"/>
      <c r="Z193" s="11"/>
      <c r="AA193" s="11"/>
      <c r="AB193" s="11"/>
      <c r="AC193" s="11"/>
    </row>
    <row r="194" ht="12.0" customHeight="1">
      <c r="A194" s="11">
        <f>VINMAX</f>
        <v>30</v>
      </c>
      <c r="B194" s="292">
        <f>VINMAX*((ROW()-129)/104)</f>
        <v>18.75</v>
      </c>
      <c r="C194" s="267">
        <f t="shared" si="11"/>
        <v>0.2</v>
      </c>
      <c r="D194" s="262">
        <f>B121</f>
        <v>70.4</v>
      </c>
      <c r="E194" s="252">
        <f t="shared" si="12"/>
        <v>6.257777778</v>
      </c>
      <c r="F194" s="267">
        <f>Equations!$G$69+C194</f>
        <v>0.52</v>
      </c>
      <c r="G194" s="267">
        <f t="shared" si="13"/>
        <v>0.52</v>
      </c>
      <c r="H194" s="267">
        <f t="shared" si="14"/>
        <v>0.32</v>
      </c>
      <c r="I194" s="266">
        <f>(COUTMAX/1000000)*(B194-B193)/H194</f>
        <v>0.002704326923</v>
      </c>
      <c r="J194" s="266">
        <f t="shared" si="19"/>
        <v>0.17578125</v>
      </c>
      <c r="K194" s="291">
        <f t="shared" si="15"/>
        <v>175.78125</v>
      </c>
      <c r="L194" s="268">
        <f t="shared" si="16"/>
        <v>0.6153846154</v>
      </c>
      <c r="M194" s="11">
        <f>1/COUTMAX*(E194/2-C194)*1000</f>
        <v>0.9762962963</v>
      </c>
      <c r="N194" s="289">
        <f t="shared" si="17"/>
        <v>0.0158203125</v>
      </c>
      <c r="O194" s="11">
        <f t="shared" si="18"/>
        <v>5.85</v>
      </c>
      <c r="P194" s="11">
        <f>(A194-B194)*(Equations!$G$69*$Q$121+C194)</f>
        <v>7.2</v>
      </c>
      <c r="Q194" s="11">
        <f>(A194-B194)*(Equations!$G$69*$R$121+C194)</f>
        <v>4.5</v>
      </c>
      <c r="R194" s="11"/>
      <c r="S194" s="11"/>
      <c r="T194" s="11"/>
      <c r="U194" s="11"/>
      <c r="V194" s="11"/>
      <c r="W194" s="11"/>
      <c r="X194" s="11"/>
      <c r="Y194" s="11"/>
      <c r="Z194" s="11"/>
      <c r="AA194" s="11"/>
      <c r="AB194" s="11"/>
      <c r="AC194" s="11"/>
    </row>
    <row r="195" ht="12.0" customHeight="1">
      <c r="A195" s="11">
        <f>VINMAX</f>
        <v>30</v>
      </c>
      <c r="B195" s="292">
        <f>VINMAX*((ROW()-129)/104)</f>
        <v>19.03846154</v>
      </c>
      <c r="C195" s="267">
        <f t="shared" si="11"/>
        <v>0.2</v>
      </c>
      <c r="D195" s="262">
        <f>B121</f>
        <v>70.4</v>
      </c>
      <c r="E195" s="252">
        <f t="shared" si="12"/>
        <v>6.42245614</v>
      </c>
      <c r="F195" s="267">
        <f>Equations!$G$69+C195</f>
        <v>0.52</v>
      </c>
      <c r="G195" s="267">
        <f t="shared" si="13"/>
        <v>0.52</v>
      </c>
      <c r="H195" s="267">
        <f t="shared" si="14"/>
        <v>0.32</v>
      </c>
      <c r="I195" s="266">
        <f>(COUTMAX/1000000)*(B195-B194)/H195</f>
        <v>0.002704326923</v>
      </c>
      <c r="J195" s="266">
        <f t="shared" si="19"/>
        <v>0.1784855769</v>
      </c>
      <c r="K195" s="291">
        <f t="shared" si="15"/>
        <v>178.4855769</v>
      </c>
      <c r="L195" s="268">
        <f t="shared" si="16"/>
        <v>0.6153846154</v>
      </c>
      <c r="M195" s="11">
        <f>1/COUTMAX*(E195/2-C195)*1000</f>
        <v>1.00374269</v>
      </c>
      <c r="N195" s="289">
        <f t="shared" si="17"/>
        <v>0.01541466346</v>
      </c>
      <c r="O195" s="11">
        <f t="shared" si="18"/>
        <v>5.7</v>
      </c>
      <c r="P195" s="11">
        <f>(A195-B195)*(Equations!$G$69*$Q$121+C195)</f>
        <v>7.015384615</v>
      </c>
      <c r="Q195" s="11">
        <f>(A195-B195)*(Equations!$G$69*$R$121+C195)</f>
        <v>4.384615385</v>
      </c>
      <c r="R195" s="11"/>
      <c r="S195" s="11"/>
      <c r="T195" s="11"/>
      <c r="U195" s="11"/>
      <c r="V195" s="11"/>
      <c r="W195" s="11"/>
      <c r="X195" s="11"/>
      <c r="Y195" s="11"/>
      <c r="Z195" s="11"/>
      <c r="AA195" s="11"/>
      <c r="AB195" s="11"/>
      <c r="AC195" s="11"/>
    </row>
    <row r="196" ht="12.0" customHeight="1">
      <c r="A196" s="11">
        <f>VINMAX</f>
        <v>30</v>
      </c>
      <c r="B196" s="292">
        <f>VINMAX*((ROW()-129)/104)</f>
        <v>19.32692308</v>
      </c>
      <c r="C196" s="267">
        <f t="shared" si="11"/>
        <v>0.2</v>
      </c>
      <c r="D196" s="262">
        <f>B121</f>
        <v>70.4</v>
      </c>
      <c r="E196" s="252">
        <f t="shared" si="12"/>
        <v>6.596036036</v>
      </c>
      <c r="F196" s="267">
        <f>Equations!$G$69+C196</f>
        <v>0.52</v>
      </c>
      <c r="G196" s="267">
        <f t="shared" si="13"/>
        <v>0.52</v>
      </c>
      <c r="H196" s="267">
        <f t="shared" si="14"/>
        <v>0.32</v>
      </c>
      <c r="I196" s="266">
        <f>(COUTMAX/1000000)*(B196-B195)/H196</f>
        <v>0.002704326923</v>
      </c>
      <c r="J196" s="266">
        <f t="shared" si="19"/>
        <v>0.1811899038</v>
      </c>
      <c r="K196" s="291">
        <f t="shared" si="15"/>
        <v>181.1899038</v>
      </c>
      <c r="L196" s="268">
        <f t="shared" si="16"/>
        <v>0.6153846154</v>
      </c>
      <c r="M196" s="11">
        <f>1/COUTMAX*(E196/2-C196)*1000</f>
        <v>1.032672673</v>
      </c>
      <c r="N196" s="289">
        <f t="shared" si="17"/>
        <v>0.01500901442</v>
      </c>
      <c r="O196" s="11">
        <f t="shared" si="18"/>
        <v>5.55</v>
      </c>
      <c r="P196" s="11">
        <f>(A196-B196)*(Equations!$G$69*$Q$121+C196)</f>
        <v>6.830769231</v>
      </c>
      <c r="Q196" s="11">
        <f>(A196-B196)*(Equations!$G$69*$R$121+C196)</f>
        <v>4.269230769</v>
      </c>
      <c r="R196" s="11"/>
      <c r="S196" s="11"/>
      <c r="T196" s="11"/>
      <c r="U196" s="11"/>
      <c r="V196" s="11"/>
      <c r="W196" s="11"/>
      <c r="X196" s="11"/>
      <c r="Y196" s="11"/>
      <c r="Z196" s="11"/>
      <c r="AA196" s="11"/>
      <c r="AB196" s="11"/>
      <c r="AC196" s="11"/>
    </row>
    <row r="197" ht="12.0" customHeight="1">
      <c r="A197" s="11">
        <f>VINMAX</f>
        <v>30</v>
      </c>
      <c r="B197" s="292">
        <f>VINMAX*((ROW()-129)/104)</f>
        <v>19.61538462</v>
      </c>
      <c r="C197" s="267">
        <f t="shared" si="11"/>
        <v>0.2</v>
      </c>
      <c r="D197" s="262">
        <f>B121</f>
        <v>70.4</v>
      </c>
      <c r="E197" s="252">
        <f t="shared" si="12"/>
        <v>6.779259259</v>
      </c>
      <c r="F197" s="267">
        <f>Equations!$G$69+C197</f>
        <v>0.52</v>
      </c>
      <c r="G197" s="267">
        <f t="shared" si="13"/>
        <v>0.52</v>
      </c>
      <c r="H197" s="267">
        <f t="shared" si="14"/>
        <v>0.32</v>
      </c>
      <c r="I197" s="266">
        <f>(COUTMAX/1000000)*(B197-B196)/H197</f>
        <v>0.002704326923</v>
      </c>
      <c r="J197" s="266">
        <f t="shared" si="19"/>
        <v>0.1838942308</v>
      </c>
      <c r="K197" s="291">
        <f t="shared" si="15"/>
        <v>183.8942308</v>
      </c>
      <c r="L197" s="268">
        <f t="shared" si="16"/>
        <v>0.6153846154</v>
      </c>
      <c r="M197" s="11">
        <f>1/COUTMAX*(E197/2-C197)*1000</f>
        <v>1.063209877</v>
      </c>
      <c r="N197" s="289">
        <f t="shared" si="17"/>
        <v>0.01460336538</v>
      </c>
      <c r="O197" s="11">
        <f t="shared" si="18"/>
        <v>5.4</v>
      </c>
      <c r="P197" s="11">
        <f>(A197-B197)*(Equations!$G$69*$Q$121+C197)</f>
        <v>6.646153846</v>
      </c>
      <c r="Q197" s="11">
        <f>(A197-B197)*(Equations!$G$69*$R$121+C197)</f>
        <v>4.153846154</v>
      </c>
      <c r="R197" s="11"/>
      <c r="S197" s="11"/>
      <c r="T197" s="11"/>
      <c r="U197" s="11"/>
      <c r="V197" s="11"/>
      <c r="W197" s="11"/>
      <c r="X197" s="11"/>
      <c r="Y197" s="11"/>
      <c r="Z197" s="11"/>
      <c r="AA197" s="11"/>
      <c r="AB197" s="11"/>
      <c r="AC197" s="11"/>
    </row>
    <row r="198" ht="12.0" customHeight="1">
      <c r="A198" s="11">
        <f>VINMAX</f>
        <v>30</v>
      </c>
      <c r="B198" s="292">
        <f>VINMAX*((ROW()-129)/104)</f>
        <v>19.90384615</v>
      </c>
      <c r="C198" s="267">
        <f t="shared" si="11"/>
        <v>0.2</v>
      </c>
      <c r="D198" s="262">
        <f>B121</f>
        <v>70.4</v>
      </c>
      <c r="E198" s="252">
        <f t="shared" si="12"/>
        <v>6.972952381</v>
      </c>
      <c r="F198" s="267">
        <f>Equations!$G$69+C198</f>
        <v>0.52</v>
      </c>
      <c r="G198" s="267">
        <f t="shared" si="13"/>
        <v>0.52</v>
      </c>
      <c r="H198" s="267">
        <f t="shared" si="14"/>
        <v>0.32</v>
      </c>
      <c r="I198" s="266">
        <f>(COUTMAX/1000000)*(B198-B197)/H198</f>
        <v>0.002704326923</v>
      </c>
      <c r="J198" s="266">
        <f t="shared" si="19"/>
        <v>0.1865985577</v>
      </c>
      <c r="K198" s="291">
        <f t="shared" si="15"/>
        <v>186.5985577</v>
      </c>
      <c r="L198" s="268">
        <f t="shared" si="16"/>
        <v>0.6153846154</v>
      </c>
      <c r="M198" s="11">
        <f>1/COUTMAX*(E198/2-C198)*1000</f>
        <v>1.095492063</v>
      </c>
      <c r="N198" s="289">
        <f t="shared" si="17"/>
        <v>0.01419771635</v>
      </c>
      <c r="O198" s="11">
        <f t="shared" si="18"/>
        <v>5.25</v>
      </c>
      <c r="P198" s="11">
        <f>(A198-B198)*(Equations!$G$69*$Q$121+C198)</f>
        <v>6.461538462</v>
      </c>
      <c r="Q198" s="11">
        <f>(A198-B198)*(Equations!$G$69*$R$121+C198)</f>
        <v>4.038461538</v>
      </c>
      <c r="R198" s="11"/>
      <c r="S198" s="11"/>
      <c r="T198" s="11"/>
      <c r="U198" s="11"/>
      <c r="V198" s="11"/>
      <c r="W198" s="11"/>
      <c r="X198" s="11"/>
      <c r="Y198" s="11"/>
      <c r="Z198" s="11"/>
      <c r="AA198" s="11"/>
      <c r="AB198" s="11"/>
      <c r="AC198" s="11"/>
    </row>
    <row r="199" ht="12.0" customHeight="1">
      <c r="A199" s="11">
        <f>VINMAX</f>
        <v>30</v>
      </c>
      <c r="B199" s="292">
        <f>VINMAX*((ROW()-129)/104)</f>
        <v>20.19230769</v>
      </c>
      <c r="C199" s="267">
        <f t="shared" si="11"/>
        <v>0.2</v>
      </c>
      <c r="D199" s="262">
        <f>B121</f>
        <v>70.4</v>
      </c>
      <c r="E199" s="252">
        <f t="shared" si="12"/>
        <v>7.178039216</v>
      </c>
      <c r="F199" s="267">
        <f>Equations!$G$69+C199</f>
        <v>0.52</v>
      </c>
      <c r="G199" s="267">
        <f t="shared" si="13"/>
        <v>0.52</v>
      </c>
      <c r="H199" s="267">
        <f t="shared" si="14"/>
        <v>0.32</v>
      </c>
      <c r="I199" s="266">
        <f>(COUTMAX/1000000)*(B199-B198)/H199</f>
        <v>0.002704326923</v>
      </c>
      <c r="J199" s="266">
        <f t="shared" si="19"/>
        <v>0.1893028846</v>
      </c>
      <c r="K199" s="291">
        <f t="shared" si="15"/>
        <v>189.3028846</v>
      </c>
      <c r="L199" s="268">
        <f t="shared" si="16"/>
        <v>0.6153846154</v>
      </c>
      <c r="M199" s="11">
        <f>1/COUTMAX*(E199/2-C199)*1000</f>
        <v>1.129673203</v>
      </c>
      <c r="N199" s="289">
        <f t="shared" si="17"/>
        <v>0.01379206731</v>
      </c>
      <c r="O199" s="11">
        <f t="shared" si="18"/>
        <v>5.1</v>
      </c>
      <c r="P199" s="11">
        <f>(A199-B199)*(Equations!$G$69*$Q$121+C199)</f>
        <v>6.276923077</v>
      </c>
      <c r="Q199" s="11">
        <f>(A199-B199)*(Equations!$G$69*$R$121+C199)</f>
        <v>3.923076923</v>
      </c>
      <c r="R199" s="11"/>
      <c r="S199" s="11"/>
      <c r="T199" s="11"/>
      <c r="U199" s="11"/>
      <c r="V199" s="11"/>
      <c r="W199" s="11"/>
      <c r="X199" s="11"/>
      <c r="Y199" s="11"/>
      <c r="Z199" s="11"/>
      <c r="AA199" s="11"/>
      <c r="AB199" s="11"/>
      <c r="AC199" s="11"/>
    </row>
    <row r="200" ht="12.0" customHeight="1">
      <c r="A200" s="11">
        <f>VINMAX</f>
        <v>30</v>
      </c>
      <c r="B200" s="292">
        <f>VINMAX*((ROW()-129)/104)</f>
        <v>20.48076923</v>
      </c>
      <c r="C200" s="267">
        <f t="shared" si="11"/>
        <v>0.2</v>
      </c>
      <c r="D200" s="262">
        <f>B121</f>
        <v>70.4</v>
      </c>
      <c r="E200" s="252">
        <f t="shared" si="12"/>
        <v>7.395555556</v>
      </c>
      <c r="F200" s="267">
        <f>Equations!$G$69+C200</f>
        <v>0.52</v>
      </c>
      <c r="G200" s="267">
        <f t="shared" si="13"/>
        <v>0.52</v>
      </c>
      <c r="H200" s="267">
        <f t="shared" si="14"/>
        <v>0.32</v>
      </c>
      <c r="I200" s="266">
        <f>(COUTMAX/1000000)*(B200-B199)/H200</f>
        <v>0.002704326923</v>
      </c>
      <c r="J200" s="266">
        <f t="shared" si="19"/>
        <v>0.1920072115</v>
      </c>
      <c r="K200" s="291">
        <f t="shared" si="15"/>
        <v>192.0072115</v>
      </c>
      <c r="L200" s="268">
        <f t="shared" si="16"/>
        <v>0.6153846154</v>
      </c>
      <c r="M200" s="11">
        <f>1/COUTMAX*(E200/2-C200)*1000</f>
        <v>1.165925926</v>
      </c>
      <c r="N200" s="289">
        <f t="shared" si="17"/>
        <v>0.01338641827</v>
      </c>
      <c r="O200" s="11">
        <f t="shared" si="18"/>
        <v>4.95</v>
      </c>
      <c r="P200" s="11">
        <f>(A200-B200)*(Equations!$G$69*$Q$121+C200)</f>
        <v>6.092307692</v>
      </c>
      <c r="Q200" s="11">
        <f>(A200-B200)*(Equations!$G$69*$R$121+C200)</f>
        <v>3.807692308</v>
      </c>
      <c r="R200" s="11"/>
      <c r="S200" s="11"/>
      <c r="T200" s="11"/>
      <c r="U200" s="11"/>
      <c r="V200" s="11"/>
      <c r="W200" s="11"/>
      <c r="X200" s="11"/>
      <c r="Y200" s="11"/>
      <c r="Z200" s="11"/>
      <c r="AA200" s="11"/>
      <c r="AB200" s="11"/>
      <c r="AC200" s="11"/>
    </row>
    <row r="201" ht="12.0" customHeight="1">
      <c r="A201" s="11">
        <f>VINMAX</f>
        <v>30</v>
      </c>
      <c r="B201" s="292">
        <f>VINMAX*((ROW()-129)/104)</f>
        <v>20.76923077</v>
      </c>
      <c r="C201" s="267">
        <f t="shared" si="11"/>
        <v>0.2</v>
      </c>
      <c r="D201" s="262">
        <f>B121</f>
        <v>70.4</v>
      </c>
      <c r="E201" s="252">
        <f t="shared" si="12"/>
        <v>7.626666667</v>
      </c>
      <c r="F201" s="267">
        <f>Equations!$G$69+C201</f>
        <v>0.52</v>
      </c>
      <c r="G201" s="267">
        <f t="shared" si="13"/>
        <v>0.52</v>
      </c>
      <c r="H201" s="267">
        <f t="shared" si="14"/>
        <v>0.32</v>
      </c>
      <c r="I201" s="266">
        <f>(COUTMAX/1000000)*(B201-B200)/H201</f>
        <v>0.002704326923</v>
      </c>
      <c r="J201" s="266">
        <f t="shared" si="19"/>
        <v>0.1947115385</v>
      </c>
      <c r="K201" s="291">
        <f t="shared" si="15"/>
        <v>194.7115385</v>
      </c>
      <c r="L201" s="268">
        <f t="shared" si="16"/>
        <v>0.6153846154</v>
      </c>
      <c r="M201" s="11">
        <f>1/COUTMAX*(E201/2-C201)*1000</f>
        <v>1.204444444</v>
      </c>
      <c r="N201" s="289">
        <f t="shared" si="17"/>
        <v>0.01298076923</v>
      </c>
      <c r="O201" s="11">
        <f t="shared" si="18"/>
        <v>4.8</v>
      </c>
      <c r="P201" s="11">
        <f>(A201-B201)*(Equations!$G$69*$Q$121+C201)</f>
        <v>5.907692308</v>
      </c>
      <c r="Q201" s="11">
        <f>(A201-B201)*(Equations!$G$69*$R$121+C201)</f>
        <v>3.692307692</v>
      </c>
      <c r="R201" s="11"/>
      <c r="S201" s="11"/>
      <c r="T201" s="11"/>
      <c r="U201" s="11"/>
      <c r="V201" s="11"/>
      <c r="W201" s="11"/>
      <c r="X201" s="11"/>
      <c r="Y201" s="11"/>
      <c r="Z201" s="11"/>
      <c r="AA201" s="11"/>
      <c r="AB201" s="11"/>
      <c r="AC201" s="11"/>
    </row>
    <row r="202" ht="12.0" customHeight="1">
      <c r="A202" s="11">
        <f>VINMAX</f>
        <v>30</v>
      </c>
      <c r="B202" s="292">
        <f>VINMAX*((ROW()-129)/104)</f>
        <v>21.05769231</v>
      </c>
      <c r="C202" s="267">
        <f t="shared" si="11"/>
        <v>0.2</v>
      </c>
      <c r="D202" s="262">
        <f>B121</f>
        <v>70.4</v>
      </c>
      <c r="E202" s="252">
        <f t="shared" si="12"/>
        <v>7.872688172</v>
      </c>
      <c r="F202" s="267">
        <f>Equations!$G$69+C202</f>
        <v>0.52</v>
      </c>
      <c r="G202" s="267">
        <f t="shared" si="13"/>
        <v>0.52</v>
      </c>
      <c r="H202" s="267">
        <f t="shared" si="14"/>
        <v>0.32</v>
      </c>
      <c r="I202" s="266">
        <f>(COUTMAX/1000000)*(B202-B201)/H202</f>
        <v>0.002704326923</v>
      </c>
      <c r="J202" s="266">
        <f t="shared" si="19"/>
        <v>0.1974158654</v>
      </c>
      <c r="K202" s="291">
        <f t="shared" si="15"/>
        <v>197.4158654</v>
      </c>
      <c r="L202" s="268">
        <f t="shared" si="16"/>
        <v>0.6153846154</v>
      </c>
      <c r="M202" s="11">
        <f>1/COUTMAX*(E202/2-C202)*1000</f>
        <v>1.245448029</v>
      </c>
      <c r="N202" s="289">
        <f t="shared" si="17"/>
        <v>0.01257512019</v>
      </c>
      <c r="O202" s="11">
        <f t="shared" si="18"/>
        <v>4.65</v>
      </c>
      <c r="P202" s="11">
        <f>(A202-B202)*(Equations!$G$69*$Q$121+C202)</f>
        <v>5.723076923</v>
      </c>
      <c r="Q202" s="11">
        <f>(A202-B202)*(Equations!$G$69*$R$121+C202)</f>
        <v>3.576923077</v>
      </c>
      <c r="R202" s="11"/>
      <c r="S202" s="11"/>
      <c r="T202" s="11"/>
      <c r="U202" s="11"/>
      <c r="V202" s="11"/>
      <c r="W202" s="11"/>
      <c r="X202" s="11"/>
      <c r="Y202" s="11"/>
      <c r="Z202" s="11"/>
      <c r="AA202" s="11"/>
      <c r="AB202" s="11"/>
      <c r="AC202" s="11"/>
    </row>
    <row r="203" ht="12.0" customHeight="1">
      <c r="A203" s="11">
        <f>VINMAX</f>
        <v>30</v>
      </c>
      <c r="B203" s="292">
        <f>VINMAX*((ROW()-129)/104)</f>
        <v>21.34615385</v>
      </c>
      <c r="C203" s="267">
        <f t="shared" si="11"/>
        <v>0.2</v>
      </c>
      <c r="D203" s="262">
        <f>B121</f>
        <v>70.4</v>
      </c>
      <c r="E203" s="252">
        <f t="shared" si="12"/>
        <v>8.135111111</v>
      </c>
      <c r="F203" s="267">
        <f>Equations!$G$69+C203</f>
        <v>0.52</v>
      </c>
      <c r="G203" s="267">
        <f t="shared" si="13"/>
        <v>0.52</v>
      </c>
      <c r="H203" s="267">
        <f t="shared" si="14"/>
        <v>0.32</v>
      </c>
      <c r="I203" s="266">
        <f>(COUTMAX/1000000)*(B203-B202)/H203</f>
        <v>0.002704326923</v>
      </c>
      <c r="J203" s="266">
        <f t="shared" si="19"/>
        <v>0.2001201923</v>
      </c>
      <c r="K203" s="291">
        <f t="shared" si="15"/>
        <v>200.1201923</v>
      </c>
      <c r="L203" s="268">
        <f t="shared" si="16"/>
        <v>0.6153846154</v>
      </c>
      <c r="M203" s="11">
        <f>1/COUTMAX*(E203/2-C203)*1000</f>
        <v>1.289185185</v>
      </c>
      <c r="N203" s="289">
        <f t="shared" si="17"/>
        <v>0.01216947115</v>
      </c>
      <c r="O203" s="11">
        <f t="shared" si="18"/>
        <v>4.5</v>
      </c>
      <c r="P203" s="11">
        <f>(A203-B203)*(Equations!$G$69*$Q$121+C203)</f>
        <v>5.538461538</v>
      </c>
      <c r="Q203" s="11">
        <f>(A203-B203)*(Equations!$G$69*$R$121+C203)</f>
        <v>3.461538462</v>
      </c>
      <c r="R203" s="11"/>
      <c r="S203" s="11"/>
      <c r="T203" s="11"/>
      <c r="U203" s="11"/>
      <c r="V203" s="11"/>
      <c r="W203" s="11"/>
      <c r="X203" s="11"/>
      <c r="Y203" s="11"/>
      <c r="Z203" s="11"/>
      <c r="AA203" s="11"/>
      <c r="AB203" s="11"/>
      <c r="AC203" s="11"/>
    </row>
    <row r="204" ht="12.0" customHeight="1">
      <c r="A204" s="11">
        <f>VINMAX</f>
        <v>30</v>
      </c>
      <c r="B204" s="292">
        <f>VINMAX*((ROW()-129)/104)</f>
        <v>21.63461538</v>
      </c>
      <c r="C204" s="267">
        <f t="shared" si="11"/>
        <v>0.2</v>
      </c>
      <c r="D204" s="262">
        <f>B121</f>
        <v>70.4</v>
      </c>
      <c r="E204" s="252">
        <f t="shared" si="12"/>
        <v>8.415632184</v>
      </c>
      <c r="F204" s="267">
        <f>Equations!$G$69+C204</f>
        <v>0.52</v>
      </c>
      <c r="G204" s="267">
        <f t="shared" si="13"/>
        <v>0.52</v>
      </c>
      <c r="H204" s="267">
        <f t="shared" si="14"/>
        <v>0.32</v>
      </c>
      <c r="I204" s="266">
        <f>(COUTMAX/1000000)*(B204-B203)/H204</f>
        <v>0.002704326923</v>
      </c>
      <c r="J204" s="266">
        <f t="shared" si="19"/>
        <v>0.2028245192</v>
      </c>
      <c r="K204" s="291">
        <f t="shared" si="15"/>
        <v>202.8245192</v>
      </c>
      <c r="L204" s="268">
        <f t="shared" si="16"/>
        <v>0.6153846154</v>
      </c>
      <c r="M204" s="11">
        <f>1/COUTMAX*(E204/2-C204)*1000</f>
        <v>1.335938697</v>
      </c>
      <c r="N204" s="289">
        <f t="shared" si="17"/>
        <v>0.01176382212</v>
      </c>
      <c r="O204" s="11">
        <f t="shared" si="18"/>
        <v>4.35</v>
      </c>
      <c r="P204" s="11">
        <f>(A204-B204)*(Equations!$G$69*$Q$121+C204)</f>
        <v>5.353846154</v>
      </c>
      <c r="Q204" s="11">
        <f>(A204-B204)*(Equations!$G$69*$R$121+C204)</f>
        <v>3.346153846</v>
      </c>
      <c r="R204" s="11"/>
      <c r="S204" s="11"/>
      <c r="T204" s="11"/>
      <c r="U204" s="11"/>
      <c r="V204" s="11"/>
      <c r="W204" s="11"/>
      <c r="X204" s="11"/>
      <c r="Y204" s="11"/>
      <c r="Z204" s="11"/>
      <c r="AA204" s="11"/>
      <c r="AB204" s="11"/>
      <c r="AC204" s="11"/>
    </row>
    <row r="205" ht="12.0" customHeight="1">
      <c r="A205" s="11">
        <f>VINMAX</f>
        <v>30</v>
      </c>
      <c r="B205" s="292">
        <f>VINMAX*((ROW()-129)/104)</f>
        <v>21.92307692</v>
      </c>
      <c r="C205" s="267">
        <f t="shared" si="11"/>
        <v>0.2</v>
      </c>
      <c r="D205" s="262">
        <f>B121</f>
        <v>70.4</v>
      </c>
      <c r="E205" s="252">
        <f t="shared" si="12"/>
        <v>8.716190476</v>
      </c>
      <c r="F205" s="267">
        <f>Equations!$G$69+C205</f>
        <v>0.52</v>
      </c>
      <c r="G205" s="267">
        <f t="shared" si="13"/>
        <v>0.52</v>
      </c>
      <c r="H205" s="267">
        <f t="shared" si="14"/>
        <v>0.32</v>
      </c>
      <c r="I205" s="266">
        <f>(COUTMAX/1000000)*(B205-B204)/H205</f>
        <v>0.002704326923</v>
      </c>
      <c r="J205" s="266">
        <f t="shared" si="19"/>
        <v>0.2055288462</v>
      </c>
      <c r="K205" s="291">
        <f t="shared" si="15"/>
        <v>205.5288462</v>
      </c>
      <c r="L205" s="268">
        <f t="shared" si="16"/>
        <v>0.6153846154</v>
      </c>
      <c r="M205" s="11">
        <f>1/COUTMAX*(E205/2-C205)*1000</f>
        <v>1.386031746</v>
      </c>
      <c r="N205" s="289">
        <f t="shared" si="17"/>
        <v>0.01135817308</v>
      </c>
      <c r="O205" s="11">
        <f t="shared" si="18"/>
        <v>4.2</v>
      </c>
      <c r="P205" s="11">
        <f>(A205-B205)*(Equations!$G$69*$Q$121+C205)</f>
        <v>5.169230769</v>
      </c>
      <c r="Q205" s="11">
        <f>(A205-B205)*(Equations!$G$69*$R$121+C205)</f>
        <v>3.230769231</v>
      </c>
      <c r="R205" s="11"/>
      <c r="S205" s="11"/>
      <c r="T205" s="11"/>
      <c r="U205" s="11"/>
      <c r="V205" s="11"/>
      <c r="W205" s="11"/>
      <c r="X205" s="11"/>
      <c r="Y205" s="11"/>
      <c r="Z205" s="11"/>
      <c r="AA205" s="11"/>
      <c r="AB205" s="11"/>
      <c r="AC205" s="11"/>
    </row>
    <row r="206" ht="12.0" customHeight="1">
      <c r="A206" s="11">
        <f>VINMAX</f>
        <v>30</v>
      </c>
      <c r="B206" s="292">
        <f>VINMAX*((ROW()-129)/104)</f>
        <v>22.21153846</v>
      </c>
      <c r="C206" s="267">
        <f t="shared" si="11"/>
        <v>0.2</v>
      </c>
      <c r="D206" s="262">
        <f>B121</f>
        <v>70.4</v>
      </c>
      <c r="E206" s="252">
        <f t="shared" si="12"/>
        <v>9.039012346</v>
      </c>
      <c r="F206" s="267">
        <f>Equations!$G$69+C206</f>
        <v>0.52</v>
      </c>
      <c r="G206" s="267">
        <f t="shared" si="13"/>
        <v>0.52</v>
      </c>
      <c r="H206" s="267">
        <f t="shared" si="14"/>
        <v>0.32</v>
      </c>
      <c r="I206" s="266">
        <f>(COUTMAX/1000000)*(B206-B205)/H206</f>
        <v>0.002704326923</v>
      </c>
      <c r="J206" s="266">
        <f t="shared" si="19"/>
        <v>0.2082331731</v>
      </c>
      <c r="K206" s="291">
        <f t="shared" si="15"/>
        <v>208.2331731</v>
      </c>
      <c r="L206" s="268">
        <f t="shared" si="16"/>
        <v>0.6153846154</v>
      </c>
      <c r="M206" s="11">
        <f>1/COUTMAX*(E206/2-C206)*1000</f>
        <v>1.439835391</v>
      </c>
      <c r="N206" s="289">
        <f t="shared" si="17"/>
        <v>0.01095252404</v>
      </c>
      <c r="O206" s="11">
        <f t="shared" si="18"/>
        <v>4.05</v>
      </c>
      <c r="P206" s="11">
        <f>(A206-B206)*(Equations!$G$69*$Q$121+C206)</f>
        <v>4.984615385</v>
      </c>
      <c r="Q206" s="11">
        <f>(A206-B206)*(Equations!$G$69*$R$121+C206)</f>
        <v>3.115384615</v>
      </c>
      <c r="R206" s="11"/>
      <c r="S206" s="11"/>
      <c r="T206" s="11"/>
      <c r="U206" s="11"/>
      <c r="V206" s="11"/>
      <c r="W206" s="11"/>
      <c r="X206" s="11"/>
      <c r="Y206" s="11"/>
      <c r="Z206" s="11"/>
      <c r="AA206" s="11"/>
      <c r="AB206" s="11"/>
      <c r="AC206" s="11"/>
    </row>
    <row r="207" ht="12.0" customHeight="1">
      <c r="A207" s="11">
        <f>VINMAX</f>
        <v>30</v>
      </c>
      <c r="B207" s="292">
        <f>VINMAX*((ROW()-129)/104)</f>
        <v>22.5</v>
      </c>
      <c r="C207" s="267">
        <f t="shared" si="11"/>
        <v>0.2</v>
      </c>
      <c r="D207" s="262">
        <f>B121</f>
        <v>70.4</v>
      </c>
      <c r="E207" s="252">
        <f t="shared" si="12"/>
        <v>9.386666667</v>
      </c>
      <c r="F207" s="267">
        <f>Equations!$G$69+C207</f>
        <v>0.52</v>
      </c>
      <c r="G207" s="267">
        <f t="shared" si="13"/>
        <v>0.52</v>
      </c>
      <c r="H207" s="267">
        <f t="shared" si="14"/>
        <v>0.32</v>
      </c>
      <c r="I207" s="266">
        <f>(COUTMAX/1000000)*(B207-B206)/H207</f>
        <v>0.002704326923</v>
      </c>
      <c r="J207" s="266">
        <f t="shared" si="19"/>
        <v>0.2109375</v>
      </c>
      <c r="K207" s="291">
        <f t="shared" si="15"/>
        <v>210.9375</v>
      </c>
      <c r="L207" s="268">
        <f t="shared" si="16"/>
        <v>0.6153846154</v>
      </c>
      <c r="M207" s="11">
        <f>1/COUTMAX*(E207/2-C207)*1000</f>
        <v>1.497777778</v>
      </c>
      <c r="N207" s="289">
        <f t="shared" si="17"/>
        <v>0.010546875</v>
      </c>
      <c r="O207" s="11">
        <f t="shared" si="18"/>
        <v>3.9</v>
      </c>
      <c r="P207" s="11">
        <f>(A207-B207)*(Equations!$G$69*$Q$121+C207)</f>
        <v>4.8</v>
      </c>
      <c r="Q207" s="11">
        <f>(A207-B207)*(Equations!$G$69*$R$121+C207)</f>
        <v>3</v>
      </c>
      <c r="R207" s="11"/>
      <c r="S207" s="11"/>
      <c r="T207" s="11"/>
      <c r="U207" s="11"/>
      <c r="V207" s="11"/>
      <c r="W207" s="11"/>
      <c r="X207" s="11"/>
      <c r="Y207" s="11"/>
      <c r="Z207" s="11"/>
      <c r="AA207" s="11"/>
      <c r="AB207" s="11"/>
      <c r="AC207" s="11"/>
    </row>
    <row r="208" ht="12.0" customHeight="1">
      <c r="A208" s="11">
        <f>VINMAX</f>
        <v>30</v>
      </c>
      <c r="B208" s="292">
        <f>VINMAX*((ROW()-129)/104)</f>
        <v>22.78846154</v>
      </c>
      <c r="C208" s="267">
        <f t="shared" si="11"/>
        <v>0.2</v>
      </c>
      <c r="D208" s="262">
        <f>B121</f>
        <v>70.4</v>
      </c>
      <c r="E208" s="252">
        <f t="shared" si="12"/>
        <v>9.762133333</v>
      </c>
      <c r="F208" s="267">
        <f>Equations!$G$69+C208</f>
        <v>0.52</v>
      </c>
      <c r="G208" s="267">
        <f t="shared" si="13"/>
        <v>0.52</v>
      </c>
      <c r="H208" s="267">
        <f t="shared" si="14"/>
        <v>0.32</v>
      </c>
      <c r="I208" s="266">
        <f>(COUTMAX/1000000)*(B208-B207)/H208</f>
        <v>0.002704326923</v>
      </c>
      <c r="J208" s="266">
        <f t="shared" si="19"/>
        <v>0.2136418269</v>
      </c>
      <c r="K208" s="291">
        <f t="shared" si="15"/>
        <v>213.6418269</v>
      </c>
      <c r="L208" s="268">
        <f t="shared" si="16"/>
        <v>0.6153846154</v>
      </c>
      <c r="M208" s="11">
        <f>1/COUTMAX*(E208/2-C208)*1000</f>
        <v>1.560355556</v>
      </c>
      <c r="N208" s="289">
        <f t="shared" si="17"/>
        <v>0.01014122596</v>
      </c>
      <c r="O208" s="11">
        <f t="shared" si="18"/>
        <v>3.75</v>
      </c>
      <c r="P208" s="11">
        <f>(A208-B208)*(Equations!$G$69*$Q$121+C208)</f>
        <v>4.615384615</v>
      </c>
      <c r="Q208" s="11">
        <f>(A208-B208)*(Equations!$G$69*$R$121+C208)</f>
        <v>2.884615385</v>
      </c>
      <c r="R208" s="11"/>
      <c r="S208" s="11"/>
      <c r="T208" s="11"/>
      <c r="U208" s="11"/>
      <c r="V208" s="11"/>
      <c r="W208" s="11"/>
      <c r="X208" s="11"/>
      <c r="Y208" s="11"/>
      <c r="Z208" s="11"/>
      <c r="AA208" s="11"/>
      <c r="AB208" s="11"/>
      <c r="AC208" s="11"/>
    </row>
    <row r="209" ht="12.0" customHeight="1">
      <c r="A209" s="11">
        <f>VINMAX</f>
        <v>30</v>
      </c>
      <c r="B209" s="292">
        <f>VINMAX*((ROW()-129)/104)</f>
        <v>23.07692308</v>
      </c>
      <c r="C209" s="267">
        <f t="shared" si="11"/>
        <v>0.2</v>
      </c>
      <c r="D209" s="262">
        <f>B121</f>
        <v>70.4</v>
      </c>
      <c r="E209" s="252">
        <f t="shared" si="12"/>
        <v>10.16888889</v>
      </c>
      <c r="F209" s="267">
        <f>Equations!$G$69+C209</f>
        <v>0.52</v>
      </c>
      <c r="G209" s="267">
        <f t="shared" si="13"/>
        <v>0.52</v>
      </c>
      <c r="H209" s="267">
        <f t="shared" si="14"/>
        <v>0.32</v>
      </c>
      <c r="I209" s="266">
        <f>(COUTMAX/1000000)*(B209-B208)/H209</f>
        <v>0.002704326923</v>
      </c>
      <c r="J209" s="266">
        <f t="shared" si="19"/>
        <v>0.2163461538</v>
      </c>
      <c r="K209" s="291">
        <f t="shared" si="15"/>
        <v>216.3461538</v>
      </c>
      <c r="L209" s="268">
        <f t="shared" si="16"/>
        <v>0.6153846154</v>
      </c>
      <c r="M209" s="11">
        <f>1/COUTMAX*(E209/2-C209)*1000</f>
        <v>1.628148148</v>
      </c>
      <c r="N209" s="289">
        <f t="shared" si="17"/>
        <v>0.009735576923</v>
      </c>
      <c r="O209" s="11">
        <f t="shared" si="18"/>
        <v>3.6</v>
      </c>
      <c r="P209" s="11">
        <f>(A209-B209)*(Equations!$G$69*$Q$121+C209)</f>
        <v>4.430769231</v>
      </c>
      <c r="Q209" s="11">
        <f>(A209-B209)*(Equations!$G$69*$R$121+C209)</f>
        <v>2.769230769</v>
      </c>
      <c r="R209" s="11"/>
      <c r="S209" s="11"/>
      <c r="T209" s="11"/>
      <c r="U209" s="11"/>
      <c r="V209" s="11"/>
      <c r="W209" s="11"/>
      <c r="X209" s="11"/>
      <c r="Y209" s="11"/>
      <c r="Z209" s="11"/>
      <c r="AA209" s="11"/>
      <c r="AB209" s="11"/>
      <c r="AC209" s="11"/>
    </row>
    <row r="210" ht="12.0" customHeight="1">
      <c r="A210" s="11">
        <f>VINMAX</f>
        <v>30</v>
      </c>
      <c r="B210" s="292">
        <f>VINMAX*((ROW()-129)/104)</f>
        <v>23.36538462</v>
      </c>
      <c r="C210" s="267">
        <f t="shared" si="11"/>
        <v>0.2</v>
      </c>
      <c r="D210" s="262">
        <f>B121</f>
        <v>70.4</v>
      </c>
      <c r="E210" s="252">
        <f t="shared" si="12"/>
        <v>10.61101449</v>
      </c>
      <c r="F210" s="267">
        <f>Equations!$G$69+C210</f>
        <v>0.52</v>
      </c>
      <c r="G210" s="267">
        <f t="shared" si="13"/>
        <v>0.52</v>
      </c>
      <c r="H210" s="267">
        <f t="shared" si="14"/>
        <v>0.32</v>
      </c>
      <c r="I210" s="266">
        <f>(COUTMAX/1000000)*(B210-B209)/H210</f>
        <v>0.002704326923</v>
      </c>
      <c r="J210" s="266">
        <f t="shared" si="19"/>
        <v>0.2190504808</v>
      </c>
      <c r="K210" s="291">
        <f t="shared" si="15"/>
        <v>219.0504808</v>
      </c>
      <c r="L210" s="268">
        <f t="shared" si="16"/>
        <v>0.6153846154</v>
      </c>
      <c r="M210" s="11">
        <f>1/COUTMAX*(E210/2-C210)*1000</f>
        <v>1.701835749</v>
      </c>
      <c r="N210" s="289">
        <f t="shared" si="17"/>
        <v>0.009329927885</v>
      </c>
      <c r="O210" s="11">
        <f t="shared" si="18"/>
        <v>3.45</v>
      </c>
      <c r="P210" s="11">
        <f>(A210-B210)*(Equations!$G$69*$Q$121+C210)</f>
        <v>4.246153846</v>
      </c>
      <c r="Q210" s="11">
        <f>(A210-B210)*(Equations!$G$69*$R$121+C210)</f>
        <v>2.653846154</v>
      </c>
      <c r="R210" s="11"/>
      <c r="S210" s="11"/>
      <c r="T210" s="11"/>
      <c r="U210" s="11"/>
      <c r="V210" s="11"/>
      <c r="W210" s="11"/>
      <c r="X210" s="11"/>
      <c r="Y210" s="11"/>
      <c r="Z210" s="11"/>
      <c r="AA210" s="11"/>
      <c r="AB210" s="11"/>
      <c r="AC210" s="11"/>
    </row>
    <row r="211" ht="12.0" customHeight="1">
      <c r="A211" s="11">
        <f>VINMAX</f>
        <v>30</v>
      </c>
      <c r="B211" s="292">
        <f>VINMAX*((ROW()-129)/104)</f>
        <v>23.65384615</v>
      </c>
      <c r="C211" s="267">
        <f t="shared" si="11"/>
        <v>0.2</v>
      </c>
      <c r="D211" s="262">
        <f>B121</f>
        <v>70.4</v>
      </c>
      <c r="E211" s="252">
        <f t="shared" si="12"/>
        <v>11.09333333</v>
      </c>
      <c r="F211" s="267">
        <f>Equations!$G$69+C211</f>
        <v>0.52</v>
      </c>
      <c r="G211" s="267">
        <f t="shared" si="13"/>
        <v>0.52</v>
      </c>
      <c r="H211" s="267">
        <f t="shared" si="14"/>
        <v>0.32</v>
      </c>
      <c r="I211" s="266">
        <f>(COUTMAX/1000000)*(B211-B210)/H211</f>
        <v>0.002704326923</v>
      </c>
      <c r="J211" s="266">
        <f t="shared" si="19"/>
        <v>0.2217548077</v>
      </c>
      <c r="K211" s="291">
        <f t="shared" si="15"/>
        <v>221.7548077</v>
      </c>
      <c r="L211" s="268">
        <f t="shared" si="16"/>
        <v>0.6153846154</v>
      </c>
      <c r="M211" s="11">
        <f>1/COUTMAX*(E211/2-C211)*1000</f>
        <v>1.782222222</v>
      </c>
      <c r="N211" s="289">
        <f t="shared" si="17"/>
        <v>0.008924278846</v>
      </c>
      <c r="O211" s="11">
        <f t="shared" si="18"/>
        <v>3.3</v>
      </c>
      <c r="P211" s="11">
        <f>(A211-B211)*(Equations!$G$69*$Q$121+C211)</f>
        <v>4.061538462</v>
      </c>
      <c r="Q211" s="11">
        <f>(A211-B211)*(Equations!$G$69*$R$121+C211)</f>
        <v>2.538461538</v>
      </c>
      <c r="R211" s="11"/>
      <c r="S211" s="11"/>
      <c r="T211" s="11"/>
      <c r="U211" s="11"/>
      <c r="V211" s="11"/>
      <c r="W211" s="11"/>
      <c r="X211" s="11"/>
      <c r="Y211" s="11"/>
      <c r="Z211" s="11"/>
      <c r="AA211" s="11"/>
      <c r="AB211" s="11"/>
      <c r="AC211" s="11"/>
    </row>
    <row r="212" ht="12.0" customHeight="1">
      <c r="A212" s="11">
        <f>VINMAX</f>
        <v>30</v>
      </c>
      <c r="B212" s="292">
        <f>VINMAX*((ROW()-129)/104)</f>
        <v>23.94230769</v>
      </c>
      <c r="C212" s="267">
        <f t="shared" si="11"/>
        <v>0.2</v>
      </c>
      <c r="D212" s="262">
        <f>B121</f>
        <v>70.4</v>
      </c>
      <c r="E212" s="252">
        <f t="shared" si="12"/>
        <v>11.6215873</v>
      </c>
      <c r="F212" s="267">
        <f>Equations!$G$69+C212</f>
        <v>0.52</v>
      </c>
      <c r="G212" s="267">
        <f t="shared" si="13"/>
        <v>0.52</v>
      </c>
      <c r="H212" s="267">
        <f t="shared" si="14"/>
        <v>0.32</v>
      </c>
      <c r="I212" s="266">
        <f>(COUTMAX/1000000)*(B212-B211)/H212</f>
        <v>0.002704326923</v>
      </c>
      <c r="J212" s="266">
        <f t="shared" si="19"/>
        <v>0.2244591346</v>
      </c>
      <c r="K212" s="291">
        <f t="shared" si="15"/>
        <v>224.4591346</v>
      </c>
      <c r="L212" s="268">
        <f t="shared" si="16"/>
        <v>0.6153846154</v>
      </c>
      <c r="M212" s="11">
        <f>1/COUTMAX*(E212/2-C212)*1000</f>
        <v>1.87026455</v>
      </c>
      <c r="N212" s="289">
        <f t="shared" si="17"/>
        <v>0.008518629808</v>
      </c>
      <c r="O212" s="11">
        <f t="shared" si="18"/>
        <v>3.15</v>
      </c>
      <c r="P212" s="11">
        <f>(A212-B212)*(Equations!$G$69*$Q$121+C212)</f>
        <v>3.876923077</v>
      </c>
      <c r="Q212" s="11">
        <f>(A212-B212)*(Equations!$G$69*$R$121+C212)</f>
        <v>2.423076923</v>
      </c>
      <c r="R212" s="11"/>
      <c r="S212" s="11"/>
      <c r="T212" s="11"/>
      <c r="U212" s="11"/>
      <c r="V212" s="11"/>
      <c r="W212" s="11"/>
      <c r="X212" s="11"/>
      <c r="Y212" s="11"/>
      <c r="Z212" s="11"/>
      <c r="AA212" s="11"/>
      <c r="AB212" s="11"/>
      <c r="AC212" s="11"/>
    </row>
    <row r="213" ht="12.0" customHeight="1">
      <c r="A213" s="11">
        <f>VINMAX</f>
        <v>30</v>
      </c>
      <c r="B213" s="292">
        <f>VINMAX*((ROW()-129)/104)</f>
        <v>24.23076923</v>
      </c>
      <c r="C213" s="267">
        <f t="shared" si="11"/>
        <v>0.2</v>
      </c>
      <c r="D213" s="262">
        <f>B121</f>
        <v>70.4</v>
      </c>
      <c r="E213" s="252">
        <f t="shared" si="12"/>
        <v>12.20266667</v>
      </c>
      <c r="F213" s="267">
        <f>Equations!$G$69+C213</f>
        <v>0.52</v>
      </c>
      <c r="G213" s="267">
        <f t="shared" si="13"/>
        <v>0.52</v>
      </c>
      <c r="H213" s="267">
        <f t="shared" si="14"/>
        <v>0.32</v>
      </c>
      <c r="I213" s="266">
        <f>(COUTMAX/1000000)*(B213-B212)/H213</f>
        <v>0.002704326923</v>
      </c>
      <c r="J213" s="266">
        <f t="shared" si="19"/>
        <v>0.2271634615</v>
      </c>
      <c r="K213" s="291">
        <f t="shared" si="15"/>
        <v>227.1634615</v>
      </c>
      <c r="L213" s="268">
        <f t="shared" si="16"/>
        <v>0.6153846154</v>
      </c>
      <c r="M213" s="11">
        <f>1/COUTMAX*(E213/2-C213)*1000</f>
        <v>1.967111111</v>
      </c>
      <c r="N213" s="289">
        <f t="shared" si="17"/>
        <v>0.008112980769</v>
      </c>
      <c r="O213" s="11">
        <f t="shared" si="18"/>
        <v>3</v>
      </c>
      <c r="P213" s="11">
        <f>(A213-B213)*(Equations!$G$69*$Q$121+C213)</f>
        <v>3.692307692</v>
      </c>
      <c r="Q213" s="11">
        <f>(A213-B213)*(Equations!$G$69*$R$121+C213)</f>
        <v>2.307692308</v>
      </c>
      <c r="R213" s="11"/>
      <c r="S213" s="11"/>
      <c r="T213" s="11"/>
      <c r="U213" s="11"/>
      <c r="V213" s="11"/>
      <c r="W213" s="11"/>
      <c r="X213" s="11"/>
      <c r="Y213" s="11"/>
      <c r="Z213" s="11"/>
      <c r="AA213" s="11"/>
      <c r="AB213" s="11"/>
      <c r="AC213" s="11"/>
    </row>
    <row r="214" ht="12.0" customHeight="1">
      <c r="A214" s="11">
        <f>VINMAX</f>
        <v>30</v>
      </c>
      <c r="B214" s="292">
        <f>VINMAX*((ROW()-129)/104)</f>
        <v>24.51923077</v>
      </c>
      <c r="C214" s="267">
        <f t="shared" si="11"/>
        <v>0.2</v>
      </c>
      <c r="D214" s="262">
        <f>B121</f>
        <v>70.4</v>
      </c>
      <c r="E214" s="252">
        <f t="shared" si="12"/>
        <v>12.84491228</v>
      </c>
      <c r="F214" s="267">
        <f>Equations!$G$69+C214</f>
        <v>0.52</v>
      </c>
      <c r="G214" s="267">
        <f t="shared" si="13"/>
        <v>0.52</v>
      </c>
      <c r="H214" s="267">
        <f t="shared" si="14"/>
        <v>0.32</v>
      </c>
      <c r="I214" s="266">
        <f>(COUTMAX/1000000)*(B214-B213)/H214</f>
        <v>0.002704326923</v>
      </c>
      <c r="J214" s="266">
        <f t="shared" si="19"/>
        <v>0.2298677885</v>
      </c>
      <c r="K214" s="291">
        <f t="shared" si="15"/>
        <v>229.8677885</v>
      </c>
      <c r="L214" s="268">
        <f t="shared" si="16"/>
        <v>0.6153846154</v>
      </c>
      <c r="M214" s="11">
        <f>1/COUTMAX*(E214/2-C214)*1000</f>
        <v>2.074152047</v>
      </c>
      <c r="N214" s="289">
        <f t="shared" si="17"/>
        <v>0.007707331731</v>
      </c>
      <c r="O214" s="11">
        <f t="shared" si="18"/>
        <v>2.85</v>
      </c>
      <c r="P214" s="11">
        <f>(A214-B214)*(Equations!$G$69*$Q$121+C214)</f>
        <v>3.507692308</v>
      </c>
      <c r="Q214" s="11">
        <f>(A214-B214)*(Equations!$G$69*$R$121+C214)</f>
        <v>2.192307692</v>
      </c>
      <c r="R214" s="11"/>
      <c r="S214" s="11"/>
      <c r="T214" s="11"/>
      <c r="U214" s="11"/>
      <c r="V214" s="11"/>
      <c r="W214" s="11"/>
      <c r="X214" s="11"/>
      <c r="Y214" s="11"/>
      <c r="Z214" s="11"/>
      <c r="AA214" s="11"/>
      <c r="AB214" s="11"/>
      <c r="AC214" s="11"/>
    </row>
    <row r="215" ht="12.0" customHeight="1">
      <c r="A215" s="11">
        <f>VINMAX</f>
        <v>30</v>
      </c>
      <c r="B215" s="292">
        <f>VINMAX*((ROW()-129)/104)</f>
        <v>24.80769231</v>
      </c>
      <c r="C215" s="267">
        <f t="shared" si="11"/>
        <v>0.2</v>
      </c>
      <c r="D215" s="262">
        <f>B121</f>
        <v>70.4</v>
      </c>
      <c r="E215" s="252">
        <f t="shared" si="12"/>
        <v>13.55851852</v>
      </c>
      <c r="F215" s="267">
        <f>Equations!$G$69+C215</f>
        <v>0.52</v>
      </c>
      <c r="G215" s="267">
        <f t="shared" si="13"/>
        <v>0.52</v>
      </c>
      <c r="H215" s="267">
        <f t="shared" si="14"/>
        <v>0.32</v>
      </c>
      <c r="I215" s="266">
        <f>(COUTMAX/1000000)*(B215-B214)/H215</f>
        <v>0.002704326923</v>
      </c>
      <c r="J215" s="266">
        <f t="shared" si="19"/>
        <v>0.2325721154</v>
      </c>
      <c r="K215" s="291">
        <f t="shared" si="15"/>
        <v>232.5721154</v>
      </c>
      <c r="L215" s="268">
        <f t="shared" si="16"/>
        <v>0.6153846154</v>
      </c>
      <c r="M215" s="11">
        <f>1/COUTMAX*(E215/2-C215)*1000</f>
        <v>2.19308642</v>
      </c>
      <c r="N215" s="289">
        <f t="shared" si="17"/>
        <v>0.007301682692</v>
      </c>
      <c r="O215" s="11">
        <f t="shared" si="18"/>
        <v>2.7</v>
      </c>
      <c r="P215" s="11">
        <f>(A215-B215)*(Equations!$G$69*$Q$121+C215)</f>
        <v>3.323076923</v>
      </c>
      <c r="Q215" s="11">
        <f>(A215-B215)*(Equations!$G$69*$R$121+C215)</f>
        <v>2.076923077</v>
      </c>
      <c r="R215" s="11"/>
      <c r="S215" s="11"/>
      <c r="T215" s="11"/>
      <c r="U215" s="11"/>
      <c r="V215" s="11"/>
      <c r="W215" s="11"/>
      <c r="X215" s="11"/>
      <c r="Y215" s="11"/>
      <c r="Z215" s="11"/>
      <c r="AA215" s="11"/>
      <c r="AB215" s="11"/>
      <c r="AC215" s="11"/>
    </row>
    <row r="216" ht="12.0" customHeight="1">
      <c r="A216" s="11">
        <f>VINMAX</f>
        <v>30</v>
      </c>
      <c r="B216" s="292">
        <f>VINMAX*((ROW()-129)/104)</f>
        <v>25.09615385</v>
      </c>
      <c r="C216" s="267">
        <f t="shared" si="11"/>
        <v>0.2</v>
      </c>
      <c r="D216" s="262">
        <f>B121</f>
        <v>70.4</v>
      </c>
      <c r="E216" s="252">
        <f t="shared" si="12"/>
        <v>14.35607843</v>
      </c>
      <c r="F216" s="267">
        <f>Equations!$G$69+C216</f>
        <v>0.52</v>
      </c>
      <c r="G216" s="267">
        <f t="shared" si="13"/>
        <v>0.52</v>
      </c>
      <c r="H216" s="267">
        <f t="shared" si="14"/>
        <v>0.32</v>
      </c>
      <c r="I216" s="266">
        <f>(COUTMAX/1000000)*(B216-B215)/H216</f>
        <v>0.002704326923</v>
      </c>
      <c r="J216" s="266">
        <f t="shared" si="19"/>
        <v>0.2352764423</v>
      </c>
      <c r="K216" s="291">
        <f t="shared" si="15"/>
        <v>235.2764423</v>
      </c>
      <c r="L216" s="268">
        <f t="shared" si="16"/>
        <v>0.6153846154</v>
      </c>
      <c r="M216" s="11">
        <f>1/COUTMAX*(E216/2-C216)*1000</f>
        <v>2.326013072</v>
      </c>
      <c r="N216" s="289">
        <f t="shared" si="17"/>
        <v>0.006896033654</v>
      </c>
      <c r="O216" s="11">
        <f t="shared" si="18"/>
        <v>2.55</v>
      </c>
      <c r="P216" s="11">
        <f>(A216-B216)*(Equations!$G$69*$Q$121+C216)</f>
        <v>3.138461538</v>
      </c>
      <c r="Q216" s="11">
        <f>(A216-B216)*(Equations!$G$69*$R$121+C216)</f>
        <v>1.961538462</v>
      </c>
      <c r="R216" s="11"/>
      <c r="S216" s="11"/>
      <c r="T216" s="11"/>
      <c r="U216" s="11"/>
      <c r="V216" s="11"/>
      <c r="W216" s="11"/>
      <c r="X216" s="11"/>
      <c r="Y216" s="11"/>
      <c r="Z216" s="11"/>
      <c r="AA216" s="11"/>
      <c r="AB216" s="11"/>
      <c r="AC216" s="11"/>
    </row>
    <row r="217" ht="12.0" customHeight="1">
      <c r="A217" s="11">
        <f>VINMAX</f>
        <v>30</v>
      </c>
      <c r="B217" s="292">
        <f>VINMAX*((ROW()-129)/104)</f>
        <v>25.38461538</v>
      </c>
      <c r="C217" s="267">
        <f t="shared" si="11"/>
        <v>0.2</v>
      </c>
      <c r="D217" s="262">
        <f>B121</f>
        <v>70.4</v>
      </c>
      <c r="E217" s="252">
        <f t="shared" si="12"/>
        <v>15.25333333</v>
      </c>
      <c r="F217" s="267">
        <f>Equations!$G$69+C217</f>
        <v>0.52</v>
      </c>
      <c r="G217" s="267">
        <f t="shared" si="13"/>
        <v>0.52</v>
      </c>
      <c r="H217" s="267">
        <f t="shared" si="14"/>
        <v>0.32</v>
      </c>
      <c r="I217" s="266">
        <f>(COUTMAX/1000000)*(B217-B216)/H217</f>
        <v>0.002704326923</v>
      </c>
      <c r="J217" s="266">
        <f t="shared" si="19"/>
        <v>0.2379807692</v>
      </c>
      <c r="K217" s="291">
        <f t="shared" si="15"/>
        <v>237.9807692</v>
      </c>
      <c r="L217" s="268">
        <f t="shared" si="16"/>
        <v>0.6153846154</v>
      </c>
      <c r="M217" s="11">
        <f>1/COUTMAX*(E217/2-C217)*1000</f>
        <v>2.475555556</v>
      </c>
      <c r="N217" s="289">
        <f t="shared" si="17"/>
        <v>0.006490384615</v>
      </c>
      <c r="O217" s="11">
        <f t="shared" si="18"/>
        <v>2.4</v>
      </c>
      <c r="P217" s="11">
        <f>(A217-B217)*(Equations!$G$69*$Q$121+C217)</f>
        <v>2.953846154</v>
      </c>
      <c r="Q217" s="11">
        <f>(A217-B217)*(Equations!$G$69*$R$121+C217)</f>
        <v>1.846153846</v>
      </c>
      <c r="R217" s="11"/>
      <c r="S217" s="11"/>
      <c r="T217" s="11"/>
      <c r="U217" s="11"/>
      <c r="V217" s="11"/>
      <c r="W217" s="11"/>
      <c r="X217" s="11"/>
      <c r="Y217" s="11"/>
      <c r="Z217" s="11"/>
      <c r="AA217" s="11"/>
      <c r="AB217" s="11"/>
      <c r="AC217" s="11"/>
    </row>
    <row r="218" ht="12.0" customHeight="1">
      <c r="A218" s="11">
        <f>VINMAX</f>
        <v>30</v>
      </c>
      <c r="B218" s="292">
        <f>VINMAX*((ROW()-129)/104)</f>
        <v>25.67307692</v>
      </c>
      <c r="C218" s="267">
        <f t="shared" si="11"/>
        <v>0.2</v>
      </c>
      <c r="D218" s="262">
        <f>B121</f>
        <v>70.4</v>
      </c>
      <c r="E218" s="252">
        <f t="shared" si="12"/>
        <v>16.27022222</v>
      </c>
      <c r="F218" s="267">
        <f>Equations!$G$69+C218</f>
        <v>0.52</v>
      </c>
      <c r="G218" s="267">
        <f t="shared" si="13"/>
        <v>0.52</v>
      </c>
      <c r="H218" s="267">
        <f t="shared" si="14"/>
        <v>0.32</v>
      </c>
      <c r="I218" s="266">
        <f>(COUTMAX/1000000)*(B218-B217)/H218</f>
        <v>0.002704326923</v>
      </c>
      <c r="J218" s="266">
        <f t="shared" si="19"/>
        <v>0.2406850962</v>
      </c>
      <c r="K218" s="291">
        <f t="shared" si="15"/>
        <v>240.6850962</v>
      </c>
      <c r="L218" s="268">
        <f t="shared" si="16"/>
        <v>0.6153846154</v>
      </c>
      <c r="M218" s="11">
        <f>1/COUTMAX*(E218/2-C218)*1000</f>
        <v>2.645037037</v>
      </c>
      <c r="N218" s="289">
        <f t="shared" si="17"/>
        <v>0.006084735577</v>
      </c>
      <c r="O218" s="11">
        <f t="shared" si="18"/>
        <v>2.25</v>
      </c>
      <c r="P218" s="11">
        <f>(A218-B218)*(Equations!$G$69*$Q$121+C218)</f>
        <v>2.769230769</v>
      </c>
      <c r="Q218" s="11">
        <f>(A218-B218)*(Equations!$G$69*$R$121+C218)</f>
        <v>1.730769231</v>
      </c>
      <c r="R218" s="11"/>
      <c r="S218" s="11"/>
      <c r="T218" s="11"/>
      <c r="U218" s="11"/>
      <c r="V218" s="11"/>
      <c r="W218" s="11"/>
      <c r="X218" s="11"/>
      <c r="Y218" s="11"/>
      <c r="Z218" s="11"/>
      <c r="AA218" s="11"/>
      <c r="AB218" s="11"/>
      <c r="AC218" s="11"/>
    </row>
    <row r="219" ht="12.0" customHeight="1">
      <c r="A219" s="11">
        <f>VINMAX</f>
        <v>30</v>
      </c>
      <c r="B219" s="292">
        <f>VINMAX*((ROW()-129)/104)</f>
        <v>25.96153846</v>
      </c>
      <c r="C219" s="267">
        <f t="shared" si="11"/>
        <v>0.2</v>
      </c>
      <c r="D219" s="262">
        <f>B121</f>
        <v>70.4</v>
      </c>
      <c r="E219" s="252">
        <f t="shared" si="12"/>
        <v>17.43238095</v>
      </c>
      <c r="F219" s="267">
        <f>Equations!$G$69+C219</f>
        <v>0.52</v>
      </c>
      <c r="G219" s="267">
        <f t="shared" si="13"/>
        <v>0.52</v>
      </c>
      <c r="H219" s="267">
        <f t="shared" si="14"/>
        <v>0.32</v>
      </c>
      <c r="I219" s="266">
        <f>(COUTMAX/1000000)*(B219-B218)/H219</f>
        <v>0.002704326923</v>
      </c>
      <c r="J219" s="266">
        <f t="shared" si="19"/>
        <v>0.2433894231</v>
      </c>
      <c r="K219" s="291">
        <f t="shared" si="15"/>
        <v>243.3894231</v>
      </c>
      <c r="L219" s="268">
        <f t="shared" si="16"/>
        <v>0.6153846154</v>
      </c>
      <c r="M219" s="11">
        <f>1/COUTMAX*(E219/2-C219)*1000</f>
        <v>2.838730159</v>
      </c>
      <c r="N219" s="289">
        <f t="shared" si="17"/>
        <v>0.005679086538</v>
      </c>
      <c r="O219" s="11">
        <f t="shared" si="18"/>
        <v>2.1</v>
      </c>
      <c r="P219" s="11">
        <f>(A219-B219)*(Equations!$G$69*$Q$121+C219)</f>
        <v>2.584615385</v>
      </c>
      <c r="Q219" s="11">
        <f>(A219-B219)*(Equations!$G$69*$R$121+C219)</f>
        <v>1.615384615</v>
      </c>
      <c r="R219" s="11"/>
      <c r="S219" s="11"/>
      <c r="T219" s="11"/>
      <c r="U219" s="11"/>
      <c r="V219" s="11"/>
      <c r="W219" s="11"/>
      <c r="X219" s="11"/>
      <c r="Y219" s="11"/>
      <c r="Z219" s="11"/>
      <c r="AA219" s="11"/>
      <c r="AB219" s="11"/>
      <c r="AC219" s="11"/>
    </row>
    <row r="220" ht="12.0" customHeight="1">
      <c r="A220" s="11">
        <f>VINMAX</f>
        <v>30</v>
      </c>
      <c r="B220" s="292">
        <f>VINMAX*((ROW()-129)/104)</f>
        <v>26.25</v>
      </c>
      <c r="C220" s="267">
        <f t="shared" si="11"/>
        <v>0.2</v>
      </c>
      <c r="D220" s="262">
        <f>B121</f>
        <v>70.4</v>
      </c>
      <c r="E220" s="252">
        <f t="shared" si="12"/>
        <v>18.77333333</v>
      </c>
      <c r="F220" s="267">
        <f>Equations!$G$69+C220</f>
        <v>0.52</v>
      </c>
      <c r="G220" s="267">
        <f t="shared" si="13"/>
        <v>0.52</v>
      </c>
      <c r="H220" s="267">
        <f t="shared" si="14"/>
        <v>0.32</v>
      </c>
      <c r="I220" s="266">
        <f>(COUTMAX/1000000)*(B220-B219)/H220</f>
        <v>0.002704326923</v>
      </c>
      <c r="J220" s="266">
        <f t="shared" si="19"/>
        <v>0.24609375</v>
      </c>
      <c r="K220" s="291">
        <f t="shared" si="15"/>
        <v>246.09375</v>
      </c>
      <c r="L220" s="268">
        <f t="shared" si="16"/>
        <v>0.6153846154</v>
      </c>
      <c r="M220" s="11">
        <f>1/COUTMAX*(E220/2-C220)*1000</f>
        <v>3.062222222</v>
      </c>
      <c r="N220" s="289">
        <f t="shared" si="17"/>
        <v>0.0052734375</v>
      </c>
      <c r="O220" s="11">
        <f t="shared" si="18"/>
        <v>1.95</v>
      </c>
      <c r="P220" s="11">
        <f>(A220-B220)*(Equations!$G$69*$Q$121+C220)</f>
        <v>2.4</v>
      </c>
      <c r="Q220" s="11">
        <f>(A220-B220)*(Equations!$G$69*$R$121+C220)</f>
        <v>1.5</v>
      </c>
      <c r="R220" s="11"/>
      <c r="S220" s="11"/>
      <c r="T220" s="11"/>
      <c r="U220" s="11"/>
      <c r="V220" s="11"/>
      <c r="W220" s="11"/>
      <c r="X220" s="11"/>
      <c r="Y220" s="11"/>
      <c r="Z220" s="11"/>
      <c r="AA220" s="11"/>
      <c r="AB220" s="11"/>
      <c r="AC220" s="11"/>
    </row>
    <row r="221" ht="12.0" customHeight="1">
      <c r="A221" s="11">
        <f>VINMAX</f>
        <v>30</v>
      </c>
      <c r="B221" s="292">
        <f>VINMAX*((ROW()-129)/104)</f>
        <v>26.53846154</v>
      </c>
      <c r="C221" s="267">
        <f t="shared" si="11"/>
        <v>0.2</v>
      </c>
      <c r="D221" s="262">
        <f>B121</f>
        <v>70.4</v>
      </c>
      <c r="E221" s="252">
        <f t="shared" si="12"/>
        <v>20.33777778</v>
      </c>
      <c r="F221" s="267">
        <f>Equations!$G$69+C221</f>
        <v>0.52</v>
      </c>
      <c r="G221" s="267">
        <f t="shared" si="13"/>
        <v>0.52</v>
      </c>
      <c r="H221" s="267">
        <f t="shared" si="14"/>
        <v>0.32</v>
      </c>
      <c r="I221" s="266">
        <f>(COUTMAX/1000000)*(B221-B220)/H221</f>
        <v>0.002704326923</v>
      </c>
      <c r="J221" s="266">
        <f t="shared" si="19"/>
        <v>0.2487980769</v>
      </c>
      <c r="K221" s="291">
        <f t="shared" si="15"/>
        <v>248.7980769</v>
      </c>
      <c r="L221" s="268">
        <f t="shared" si="16"/>
        <v>0.6153846154</v>
      </c>
      <c r="M221" s="11">
        <f>1/COUTMAX*(E221/2-C221)*1000</f>
        <v>3.322962963</v>
      </c>
      <c r="N221" s="289">
        <f t="shared" si="17"/>
        <v>0.004867788462</v>
      </c>
      <c r="O221" s="11">
        <f t="shared" si="18"/>
        <v>1.8</v>
      </c>
      <c r="P221" s="11">
        <f>(A221-B221)*(Equations!$G$69*$Q$121+C221)</f>
        <v>2.215384615</v>
      </c>
      <c r="Q221" s="11">
        <f>(A221-B221)*(Equations!$G$69*$R$121+C221)</f>
        <v>1.384615385</v>
      </c>
      <c r="R221" s="11"/>
      <c r="S221" s="11"/>
      <c r="T221" s="11"/>
      <c r="U221" s="11"/>
      <c r="V221" s="11"/>
      <c r="W221" s="11"/>
      <c r="X221" s="11"/>
      <c r="Y221" s="11"/>
      <c r="Z221" s="11"/>
      <c r="AA221" s="11"/>
      <c r="AB221" s="11"/>
      <c r="AC221" s="11"/>
    </row>
    <row r="222" ht="12.0" customHeight="1">
      <c r="A222" s="11">
        <f>VINMAX</f>
        <v>30</v>
      </c>
      <c r="B222" s="292">
        <f>VINMAX*((ROW()-129)/104)</f>
        <v>26.82692308</v>
      </c>
      <c r="C222" s="267">
        <f t="shared" si="11"/>
        <v>0.2</v>
      </c>
      <c r="D222" s="262">
        <f>B121</f>
        <v>70.4</v>
      </c>
      <c r="E222" s="252">
        <f t="shared" si="12"/>
        <v>22</v>
      </c>
      <c r="F222" s="267">
        <f>Equations!$G$69+C222</f>
        <v>0.52</v>
      </c>
      <c r="G222" s="267">
        <f t="shared" si="13"/>
        <v>0.52</v>
      </c>
      <c r="H222" s="267">
        <f t="shared" si="14"/>
        <v>0.32</v>
      </c>
      <c r="I222" s="266">
        <f>(COUTMAX/1000000)*(B222-B221)/H222</f>
        <v>0.002704326923</v>
      </c>
      <c r="J222" s="266">
        <f t="shared" si="19"/>
        <v>0.2515024038</v>
      </c>
      <c r="K222" s="291">
        <f t="shared" si="15"/>
        <v>251.5024038</v>
      </c>
      <c r="L222" s="268">
        <f t="shared" si="16"/>
        <v>0.6153846154</v>
      </c>
      <c r="M222" s="11">
        <f>1/COUTMAX*(E222/2-C222)*1000</f>
        <v>3.6</v>
      </c>
      <c r="N222" s="289">
        <f t="shared" si="17"/>
        <v>0.004462139423</v>
      </c>
      <c r="O222" s="11">
        <f t="shared" si="18"/>
        <v>1.65</v>
      </c>
      <c r="P222" s="11">
        <f>(A222-B222)*(Equations!$G$69*$Q$121+C222)</f>
        <v>2.030769231</v>
      </c>
      <c r="Q222" s="11">
        <f>(A222-B222)*(Equations!$G$69*$R$121+C222)</f>
        <v>1.269230769</v>
      </c>
      <c r="R222" s="11"/>
      <c r="S222" s="11"/>
      <c r="T222" s="11"/>
      <c r="U222" s="11"/>
      <c r="V222" s="11"/>
      <c r="W222" s="11"/>
      <c r="X222" s="11"/>
      <c r="Y222" s="11"/>
      <c r="Z222" s="11"/>
      <c r="AA222" s="11"/>
      <c r="AB222" s="11"/>
      <c r="AC222" s="11"/>
    </row>
    <row r="223" ht="12.0" customHeight="1">
      <c r="A223" s="11">
        <f>VINMAX</f>
        <v>30</v>
      </c>
      <c r="B223" s="292">
        <f>VINMAX*((ROW()-129)/104)</f>
        <v>27.11538462</v>
      </c>
      <c r="C223" s="267">
        <f t="shared" si="11"/>
        <v>0.2</v>
      </c>
      <c r="D223" s="262">
        <f>B121</f>
        <v>70.4</v>
      </c>
      <c r="E223" s="252">
        <f t="shared" si="12"/>
        <v>22</v>
      </c>
      <c r="F223" s="267">
        <f>Equations!$G$69+C223</f>
        <v>0.52</v>
      </c>
      <c r="G223" s="267">
        <f t="shared" si="13"/>
        <v>0.52</v>
      </c>
      <c r="H223" s="267">
        <f t="shared" si="14"/>
        <v>0.32</v>
      </c>
      <c r="I223" s="266">
        <f>(COUTMAX/1000000)*(B223-B222)/H223</f>
        <v>0.002704326923</v>
      </c>
      <c r="J223" s="266">
        <f t="shared" si="19"/>
        <v>0.2542067308</v>
      </c>
      <c r="K223" s="291">
        <f t="shared" si="15"/>
        <v>254.2067308</v>
      </c>
      <c r="L223" s="268">
        <f t="shared" si="16"/>
        <v>0.6153846154</v>
      </c>
      <c r="M223" s="11">
        <f>1/COUTMAX*(E223/2-C223)*1000</f>
        <v>3.6</v>
      </c>
      <c r="N223" s="289">
        <f t="shared" si="17"/>
        <v>0.004056490385</v>
      </c>
      <c r="O223" s="11">
        <f t="shared" si="18"/>
        <v>1.5</v>
      </c>
      <c r="P223" s="11">
        <f>(A223-B223)*(Equations!$G$69*$Q$121+C223)</f>
        <v>1.846153846</v>
      </c>
      <c r="Q223" s="11">
        <f>(A223-B223)*(Equations!$G$69*$R$121+C223)</f>
        <v>1.153846154</v>
      </c>
      <c r="R223" s="11"/>
      <c r="S223" s="11"/>
      <c r="T223" s="11"/>
      <c r="U223" s="11"/>
      <c r="V223" s="11"/>
      <c r="W223" s="11"/>
      <c r="X223" s="11"/>
      <c r="Y223" s="11"/>
      <c r="Z223" s="11"/>
      <c r="AA223" s="11"/>
      <c r="AB223" s="11"/>
      <c r="AC223" s="11"/>
    </row>
    <row r="224" ht="12.0" customHeight="1">
      <c r="A224" s="11">
        <f>VINMAX</f>
        <v>30</v>
      </c>
      <c r="B224" s="292">
        <f>VINMAX*((ROW()-129)/104)</f>
        <v>27.40384615</v>
      </c>
      <c r="C224" s="267">
        <f t="shared" si="11"/>
        <v>0.2</v>
      </c>
      <c r="D224" s="262">
        <f>B121</f>
        <v>70.4</v>
      </c>
      <c r="E224" s="252">
        <f t="shared" si="12"/>
        <v>22</v>
      </c>
      <c r="F224" s="267">
        <f>Equations!$G$69+C224</f>
        <v>0.52</v>
      </c>
      <c r="G224" s="267">
        <f t="shared" si="13"/>
        <v>0.52</v>
      </c>
      <c r="H224" s="267">
        <f t="shared" si="14"/>
        <v>0.32</v>
      </c>
      <c r="I224" s="266">
        <f>(COUTMAX/1000000)*(B224-B223)/H224</f>
        <v>0.002704326923</v>
      </c>
      <c r="J224" s="266">
        <f t="shared" si="19"/>
        <v>0.2569110577</v>
      </c>
      <c r="K224" s="291">
        <f t="shared" si="15"/>
        <v>256.9110577</v>
      </c>
      <c r="L224" s="268">
        <f t="shared" si="16"/>
        <v>0.6153846154</v>
      </c>
      <c r="M224" s="11">
        <f>1/COUTMAX*(E224/2-C224)*1000</f>
        <v>3.6</v>
      </c>
      <c r="N224" s="289">
        <f t="shared" si="17"/>
        <v>0.003650841346</v>
      </c>
      <c r="O224" s="11">
        <f t="shared" si="18"/>
        <v>1.35</v>
      </c>
      <c r="P224" s="11">
        <f>(A224-B224)*(Equations!$G$69*$Q$121+C224)</f>
        <v>1.661538462</v>
      </c>
      <c r="Q224" s="11">
        <f>(A224-B224)*(Equations!$G$69*$R$121+C224)</f>
        <v>1.038461538</v>
      </c>
      <c r="R224" s="11"/>
      <c r="S224" s="11"/>
      <c r="T224" s="11"/>
      <c r="U224" s="11"/>
      <c r="V224" s="11"/>
      <c r="W224" s="11"/>
      <c r="X224" s="11"/>
      <c r="Y224" s="11"/>
      <c r="Z224" s="11"/>
      <c r="AA224" s="11"/>
      <c r="AB224" s="11"/>
      <c r="AC224" s="11"/>
    </row>
    <row r="225" ht="12.0" customHeight="1">
      <c r="A225" s="11">
        <f>VINMAX</f>
        <v>30</v>
      </c>
      <c r="B225" s="292">
        <f>VINMAX*((ROW()-129)/104)</f>
        <v>27.69230769</v>
      </c>
      <c r="C225" s="267">
        <f t="shared" si="11"/>
        <v>0.2</v>
      </c>
      <c r="D225" s="262">
        <f>B121</f>
        <v>70.4</v>
      </c>
      <c r="E225" s="252">
        <f t="shared" si="12"/>
        <v>22</v>
      </c>
      <c r="F225" s="267">
        <f>Equations!$G$69+C225</f>
        <v>0.52</v>
      </c>
      <c r="G225" s="267">
        <f t="shared" si="13"/>
        <v>0.52</v>
      </c>
      <c r="H225" s="267">
        <f t="shared" si="14"/>
        <v>0.32</v>
      </c>
      <c r="I225" s="266">
        <f>(COUTMAX/1000000)*(B225-B224)/H225</f>
        <v>0.002704326923</v>
      </c>
      <c r="J225" s="266">
        <f t="shared" si="19"/>
        <v>0.2596153846</v>
      </c>
      <c r="K225" s="291">
        <f t="shared" si="15"/>
        <v>259.6153846</v>
      </c>
      <c r="L225" s="268">
        <f t="shared" si="16"/>
        <v>0.6153846154</v>
      </c>
      <c r="M225" s="11">
        <f>1/COUTMAX*(E225/2-C225)*1000</f>
        <v>3.6</v>
      </c>
      <c r="N225" s="289">
        <f t="shared" si="17"/>
        <v>0.003245192308</v>
      </c>
      <c r="O225" s="11">
        <f t="shared" si="18"/>
        <v>1.2</v>
      </c>
      <c r="P225" s="11">
        <f>(A225-B225)*(Equations!$G$69*$Q$121+C225)</f>
        <v>1.476923077</v>
      </c>
      <c r="Q225" s="11">
        <f>(A225-B225)*(Equations!$G$69*$R$121+C225)</f>
        <v>0.9230769231</v>
      </c>
      <c r="R225" s="11"/>
      <c r="S225" s="11"/>
      <c r="T225" s="11"/>
      <c r="U225" s="11"/>
      <c r="V225" s="11"/>
      <c r="W225" s="11"/>
      <c r="X225" s="11"/>
      <c r="Y225" s="11"/>
      <c r="Z225" s="11"/>
      <c r="AA225" s="11"/>
      <c r="AB225" s="11"/>
      <c r="AC225" s="11"/>
    </row>
    <row r="226" ht="12.0" customHeight="1">
      <c r="A226" s="11">
        <f>VINMAX</f>
        <v>30</v>
      </c>
      <c r="B226" s="292">
        <f>VINMAX*((ROW()-129)/104)</f>
        <v>27.98076923</v>
      </c>
      <c r="C226" s="267">
        <f t="shared" si="11"/>
        <v>0.2</v>
      </c>
      <c r="D226" s="262">
        <f>B121</f>
        <v>70.4</v>
      </c>
      <c r="E226" s="252">
        <f t="shared" si="12"/>
        <v>22</v>
      </c>
      <c r="F226" s="267">
        <f>Equations!$G$69+C226</f>
        <v>0.52</v>
      </c>
      <c r="G226" s="267">
        <f t="shared" si="13"/>
        <v>0.52</v>
      </c>
      <c r="H226" s="267">
        <f t="shared" si="14"/>
        <v>0.32</v>
      </c>
      <c r="I226" s="266">
        <f>(COUTMAX/1000000)*(B226-B225)/H226</f>
        <v>0.002704326923</v>
      </c>
      <c r="J226" s="266">
        <f t="shared" si="19"/>
        <v>0.2623197115</v>
      </c>
      <c r="K226" s="291">
        <f t="shared" si="15"/>
        <v>262.3197115</v>
      </c>
      <c r="L226" s="268">
        <f t="shared" si="16"/>
        <v>0.6153846154</v>
      </c>
      <c r="M226" s="11">
        <f>1/COUTMAX*(E226/2-C226)*1000</f>
        <v>3.6</v>
      </c>
      <c r="N226" s="289">
        <f t="shared" si="17"/>
        <v>0.002839543269</v>
      </c>
      <c r="O226" s="11">
        <f t="shared" si="18"/>
        <v>1.05</v>
      </c>
      <c r="P226" s="11">
        <f>(A226-B226)*(Equations!$G$69*$Q$121+C226)</f>
        <v>1.292307692</v>
      </c>
      <c r="Q226" s="11">
        <f>(A226-B226)*(Equations!$G$69*$R$121+C226)</f>
        <v>0.8076923077</v>
      </c>
      <c r="R226" s="11"/>
      <c r="S226" s="11"/>
      <c r="T226" s="11"/>
      <c r="U226" s="11"/>
      <c r="V226" s="11"/>
      <c r="W226" s="11"/>
      <c r="X226" s="11"/>
      <c r="Y226" s="11"/>
      <c r="Z226" s="11"/>
      <c r="AA226" s="11"/>
      <c r="AB226" s="11"/>
      <c r="AC226" s="11"/>
    </row>
    <row r="227" ht="12.0" customHeight="1">
      <c r="A227" s="11">
        <f>VINMAX</f>
        <v>30</v>
      </c>
      <c r="B227" s="292">
        <f>VINMAX*((ROW()-129)/104)</f>
        <v>28.26923077</v>
      </c>
      <c r="C227" s="267">
        <f t="shared" si="11"/>
        <v>0.2</v>
      </c>
      <c r="D227" s="262">
        <f>B121</f>
        <v>70.4</v>
      </c>
      <c r="E227" s="252">
        <f t="shared" si="12"/>
        <v>22</v>
      </c>
      <c r="F227" s="267">
        <f>Equations!$G$69+C227</f>
        <v>0.52</v>
      </c>
      <c r="G227" s="267">
        <f t="shared" si="13"/>
        <v>0.52</v>
      </c>
      <c r="H227" s="267">
        <f t="shared" si="14"/>
        <v>0.32</v>
      </c>
      <c r="I227" s="266">
        <f>(COUTMAX/1000000)*(B227-B226)/H227</f>
        <v>0.002704326923</v>
      </c>
      <c r="J227" s="266">
        <f t="shared" si="19"/>
        <v>0.2650240385</v>
      </c>
      <c r="K227" s="291">
        <f t="shared" si="15"/>
        <v>265.0240385</v>
      </c>
      <c r="L227" s="268">
        <f t="shared" si="16"/>
        <v>0.6153846154</v>
      </c>
      <c r="M227" s="11">
        <f>1/COUTMAX*(E227/2-C227)*1000</f>
        <v>3.6</v>
      </c>
      <c r="N227" s="289">
        <f t="shared" si="17"/>
        <v>0.002433894231</v>
      </c>
      <c r="O227" s="11">
        <f t="shared" si="18"/>
        <v>0.9</v>
      </c>
      <c r="P227" s="11">
        <f>(A227-B227)*(Equations!$G$69*$Q$121+C227)</f>
        <v>1.107692308</v>
      </c>
      <c r="Q227" s="11">
        <f>(A227-B227)*(Equations!$G$69*$R$121+C227)</f>
        <v>0.6923076923</v>
      </c>
      <c r="R227" s="11"/>
      <c r="S227" s="11"/>
      <c r="T227" s="11"/>
      <c r="U227" s="11"/>
      <c r="V227" s="11"/>
      <c r="W227" s="11"/>
      <c r="X227" s="11"/>
      <c r="Y227" s="11"/>
      <c r="Z227" s="11"/>
      <c r="AA227" s="11"/>
      <c r="AB227" s="11"/>
      <c r="AC227" s="11"/>
    </row>
    <row r="228" ht="12.0" customHeight="1">
      <c r="A228" s="11">
        <f>VINMAX</f>
        <v>30</v>
      </c>
      <c r="B228" s="292">
        <f>VINMAX*((ROW()-129)/104)</f>
        <v>28.55769231</v>
      </c>
      <c r="C228" s="267">
        <f t="shared" si="11"/>
        <v>0.2</v>
      </c>
      <c r="D228" s="262">
        <f>B121</f>
        <v>70.4</v>
      </c>
      <c r="E228" s="252">
        <f t="shared" si="12"/>
        <v>22</v>
      </c>
      <c r="F228" s="267">
        <f>Equations!$G$69+C228</f>
        <v>0.52</v>
      </c>
      <c r="G228" s="267">
        <f t="shared" si="13"/>
        <v>0.52</v>
      </c>
      <c r="H228" s="267">
        <f t="shared" si="14"/>
        <v>0.32</v>
      </c>
      <c r="I228" s="266">
        <f>(COUTMAX/1000000)*(B228-B227)/H228</f>
        <v>0.002704326923</v>
      </c>
      <c r="J228" s="266">
        <f t="shared" si="19"/>
        <v>0.2677283654</v>
      </c>
      <c r="K228" s="291">
        <f t="shared" si="15"/>
        <v>267.7283654</v>
      </c>
      <c r="L228" s="268">
        <f t="shared" si="16"/>
        <v>0.6153846154</v>
      </c>
      <c r="M228" s="11">
        <f>1/COUTMAX*(E228/2-C228)*1000</f>
        <v>3.6</v>
      </c>
      <c r="N228" s="289">
        <f t="shared" si="17"/>
        <v>0.002028245192</v>
      </c>
      <c r="O228" s="11">
        <f t="shared" si="18"/>
        <v>0.75</v>
      </c>
      <c r="P228" s="11">
        <f>(A228-B228)*(Equations!$G$69*$Q$121+C228)</f>
        <v>0.9230769231</v>
      </c>
      <c r="Q228" s="11">
        <f>(A228-B228)*(Equations!$G$69*$R$121+C228)</f>
        <v>0.5769230769</v>
      </c>
      <c r="R228" s="11"/>
      <c r="S228" s="11"/>
      <c r="T228" s="11"/>
      <c r="U228" s="11"/>
      <c r="V228" s="11"/>
      <c r="W228" s="11"/>
      <c r="X228" s="11"/>
      <c r="Y228" s="11"/>
      <c r="Z228" s="11"/>
      <c r="AA228" s="11"/>
      <c r="AB228" s="11"/>
      <c r="AC228" s="11"/>
    </row>
    <row r="229" ht="12.0" customHeight="1">
      <c r="A229" s="11">
        <f>VINMAX</f>
        <v>30</v>
      </c>
      <c r="B229" s="292">
        <f>VINMAX*((ROW()-129)/104)</f>
        <v>28.84615385</v>
      </c>
      <c r="C229" s="267">
        <f t="shared" si="11"/>
        <v>0.2</v>
      </c>
      <c r="D229" s="262">
        <f>B121</f>
        <v>70.4</v>
      </c>
      <c r="E229" s="252">
        <f t="shared" si="12"/>
        <v>22</v>
      </c>
      <c r="F229" s="267">
        <f>Equations!$G$69+C229</f>
        <v>0.52</v>
      </c>
      <c r="G229" s="267">
        <f t="shared" si="13"/>
        <v>0.52</v>
      </c>
      <c r="H229" s="267">
        <f t="shared" si="14"/>
        <v>0.32</v>
      </c>
      <c r="I229" s="266">
        <f>(COUTMAX/1000000)*(B229-B228)/H229</f>
        <v>0.002704326923</v>
      </c>
      <c r="J229" s="266">
        <f t="shared" si="19"/>
        <v>0.2704326923</v>
      </c>
      <c r="K229" s="291">
        <f t="shared" si="15"/>
        <v>270.4326923</v>
      </c>
      <c r="L229" s="268">
        <f t="shared" si="16"/>
        <v>0.6153846154</v>
      </c>
      <c r="M229" s="11">
        <f>1/COUTMAX*(E229/2-C229)*1000</f>
        <v>3.6</v>
      </c>
      <c r="N229" s="289">
        <f t="shared" si="17"/>
        <v>0.001622596154</v>
      </c>
      <c r="O229" s="11">
        <f t="shared" si="18"/>
        <v>0.6</v>
      </c>
      <c r="P229" s="11">
        <f>(A229-B229)*(Equations!$G$69*$Q$121+C229)</f>
        <v>0.7384615385</v>
      </c>
      <c r="Q229" s="11">
        <f>(A229-B229)*(Equations!$G$69*$R$121+C229)</f>
        <v>0.4615384615</v>
      </c>
      <c r="R229" s="11"/>
      <c r="S229" s="11"/>
      <c r="T229" s="11"/>
      <c r="U229" s="11"/>
      <c r="V229" s="11"/>
      <c r="W229" s="11"/>
      <c r="X229" s="11"/>
      <c r="Y229" s="11"/>
      <c r="Z229" s="11"/>
      <c r="AA229" s="11"/>
      <c r="AB229" s="11"/>
      <c r="AC229" s="11"/>
    </row>
    <row r="230" ht="12.0" customHeight="1">
      <c r="A230" s="11">
        <f>VINMAX</f>
        <v>30</v>
      </c>
      <c r="B230" s="292">
        <f>VINMAX*((ROW()-129)/104)</f>
        <v>29.13461538</v>
      </c>
      <c r="C230" s="267">
        <f t="shared" si="11"/>
        <v>0.2</v>
      </c>
      <c r="D230" s="262">
        <f>B121</f>
        <v>70.4</v>
      </c>
      <c r="E230" s="291">
        <f t="shared" ref="E230:E233" si="20">$C$121</f>
        <v>22</v>
      </c>
      <c r="F230" s="267">
        <f>Equations!$G$69+C230</f>
        <v>0.52</v>
      </c>
      <c r="G230" s="267">
        <f t="shared" si="13"/>
        <v>0.52</v>
      </c>
      <c r="H230" s="267">
        <f t="shared" si="14"/>
        <v>0.32</v>
      </c>
      <c r="I230" s="266">
        <f>(COUTMAX/1000000)*(B230-B229)/H230</f>
        <v>0.002704326923</v>
      </c>
      <c r="J230" s="266">
        <f t="shared" si="19"/>
        <v>0.2731370192</v>
      </c>
      <c r="K230" s="291">
        <f t="shared" si="15"/>
        <v>273.1370192</v>
      </c>
      <c r="L230" s="268">
        <f t="shared" si="16"/>
        <v>0.6153846154</v>
      </c>
      <c r="M230" s="11">
        <f>1/COUTMAX*(E230/2-C230)*1000</f>
        <v>3.6</v>
      </c>
      <c r="N230" s="289">
        <f t="shared" si="17"/>
        <v>0.001216947115</v>
      </c>
      <c r="O230" s="11">
        <f t="shared" si="18"/>
        <v>0.45</v>
      </c>
      <c r="P230" s="11">
        <f>(A230-B230)*(Equations!$G$69*$Q$121+C230)</f>
        <v>0.5538461538</v>
      </c>
      <c r="Q230" s="11">
        <f>(A230-B230)*(Equations!$G$69*$R$121+C230)</f>
        <v>0.3461538462</v>
      </c>
      <c r="R230" s="11"/>
      <c r="S230" s="11"/>
      <c r="T230" s="11"/>
      <c r="U230" s="11"/>
      <c r="V230" s="11"/>
      <c r="W230" s="11"/>
      <c r="X230" s="11"/>
      <c r="Y230" s="11"/>
      <c r="Z230" s="11"/>
      <c r="AA230" s="11"/>
      <c r="AB230" s="11"/>
      <c r="AC230" s="11"/>
    </row>
    <row r="231" ht="12.0" customHeight="1">
      <c r="A231" s="11">
        <f>VINMAX</f>
        <v>30</v>
      </c>
      <c r="B231" s="292">
        <f>VINMAX*((ROW()-129)/104)</f>
        <v>29.42307692</v>
      </c>
      <c r="C231" s="267">
        <f t="shared" si="11"/>
        <v>0.2</v>
      </c>
      <c r="D231" s="262">
        <f>B121</f>
        <v>70.4</v>
      </c>
      <c r="E231" s="291">
        <f t="shared" si="20"/>
        <v>22</v>
      </c>
      <c r="F231" s="267">
        <f>Equations!$G$69+C231</f>
        <v>0.52</v>
      </c>
      <c r="G231" s="267">
        <f t="shared" si="13"/>
        <v>0.52</v>
      </c>
      <c r="H231" s="267">
        <f t="shared" si="14"/>
        <v>0.32</v>
      </c>
      <c r="I231" s="266">
        <f>(COUTMAX/1000000)*(B231-B230)/H231</f>
        <v>0.002704326923</v>
      </c>
      <c r="J231" s="266">
        <f t="shared" si="19"/>
        <v>0.2758413462</v>
      </c>
      <c r="K231" s="291">
        <f t="shared" si="15"/>
        <v>275.8413462</v>
      </c>
      <c r="L231" s="268">
        <f t="shared" si="16"/>
        <v>0.6153846154</v>
      </c>
      <c r="M231" s="11">
        <f>1/COUTMAX*(E231/2-C231)*1000</f>
        <v>3.6</v>
      </c>
      <c r="N231" s="289">
        <f t="shared" si="17"/>
        <v>0.0008112980769</v>
      </c>
      <c r="O231" s="11">
        <f t="shared" si="18"/>
        <v>0.3</v>
      </c>
      <c r="P231" s="11">
        <f>(A231-B231)*(Equations!$G$69*$Q$121+C231)</f>
        <v>0.3692307692</v>
      </c>
      <c r="Q231" s="11">
        <f>(A231-B231)*(Equations!$G$69*$R$121+C231)</f>
        <v>0.2307692308</v>
      </c>
      <c r="R231" s="11"/>
      <c r="S231" s="11"/>
      <c r="T231" s="11"/>
      <c r="U231" s="11"/>
      <c r="V231" s="11"/>
      <c r="W231" s="11"/>
      <c r="X231" s="11"/>
      <c r="Y231" s="11"/>
      <c r="Z231" s="11"/>
      <c r="AA231" s="11"/>
      <c r="AB231" s="11"/>
      <c r="AC231" s="11"/>
    </row>
    <row r="232" ht="12.0" customHeight="1">
      <c r="A232" s="11">
        <f>VINMAX</f>
        <v>30</v>
      </c>
      <c r="B232" s="292">
        <f>VINMAX*((ROW()-129)/104)</f>
        <v>29.71153846</v>
      </c>
      <c r="C232" s="267">
        <f t="shared" si="11"/>
        <v>0.2</v>
      </c>
      <c r="D232" s="262">
        <f>B121</f>
        <v>70.4</v>
      </c>
      <c r="E232" s="291">
        <f t="shared" si="20"/>
        <v>22</v>
      </c>
      <c r="F232" s="267">
        <f>Equations!$G$69+C232</f>
        <v>0.52</v>
      </c>
      <c r="G232" s="267">
        <f t="shared" si="13"/>
        <v>0.52</v>
      </c>
      <c r="H232" s="267">
        <f t="shared" si="14"/>
        <v>0.32</v>
      </c>
      <c r="I232" s="266">
        <f>(COUTMAX/1000000)*(B232-B231)/H232</f>
        <v>0.002704326923</v>
      </c>
      <c r="J232" s="266">
        <f t="shared" si="19"/>
        <v>0.2785456731</v>
      </c>
      <c r="K232" s="291">
        <f t="shared" si="15"/>
        <v>278.5456731</v>
      </c>
      <c r="L232" s="268">
        <f t="shared" si="16"/>
        <v>0.6153846154</v>
      </c>
      <c r="M232" s="11">
        <f>1/COUTMAX*(E232/2-C232)*1000</f>
        <v>3.6</v>
      </c>
      <c r="N232" s="289">
        <f t="shared" si="17"/>
        <v>0.0004056490385</v>
      </c>
      <c r="O232" s="11">
        <f t="shared" si="18"/>
        <v>0.15</v>
      </c>
      <c r="P232" s="11">
        <f>(A232-B232)*(Equations!$G$69*$Q$121+C232)</f>
        <v>0.1846153846</v>
      </c>
      <c r="Q232" s="11">
        <f>(A232-B232)*(Equations!$G$69*$R$121+C232)</f>
        <v>0.1153846154</v>
      </c>
      <c r="R232" s="11"/>
      <c r="S232" s="11"/>
      <c r="T232" s="11"/>
      <c r="U232" s="11"/>
      <c r="V232" s="11"/>
      <c r="W232" s="11"/>
      <c r="X232" s="11"/>
      <c r="Y232" s="11"/>
      <c r="Z232" s="11"/>
      <c r="AA232" s="11"/>
      <c r="AB232" s="11"/>
      <c r="AC232" s="11"/>
    </row>
    <row r="233" ht="12.0" customHeight="1">
      <c r="A233" s="11">
        <f>VINMAX</f>
        <v>30</v>
      </c>
      <c r="B233" s="292">
        <f>VINMAX*((ROW()-129)/104)</f>
        <v>30</v>
      </c>
      <c r="C233" s="267">
        <f t="shared" si="11"/>
        <v>0.2</v>
      </c>
      <c r="D233" s="262">
        <f>B121</f>
        <v>70.4</v>
      </c>
      <c r="E233" s="291">
        <f t="shared" si="20"/>
        <v>22</v>
      </c>
      <c r="F233" s="267">
        <f>Equations!$G$69+C233</f>
        <v>0.52</v>
      </c>
      <c r="G233" s="267">
        <f t="shared" si="13"/>
        <v>0.52</v>
      </c>
      <c r="H233" s="267">
        <f t="shared" si="14"/>
        <v>0.32</v>
      </c>
      <c r="I233" s="266">
        <f>(COUTMAX/1000000)*(B233-B232)/H233</f>
        <v>0.002704326923</v>
      </c>
      <c r="J233" s="266">
        <f t="shared" si="19"/>
        <v>0.28125</v>
      </c>
      <c r="K233" s="291">
        <f t="shared" si="15"/>
        <v>281.25</v>
      </c>
      <c r="L233" s="268">
        <f t="shared" si="16"/>
        <v>0.6153846154</v>
      </c>
      <c r="M233" s="11">
        <f>1/COUTMAX*(E233/2-C233)*1000</f>
        <v>3.6</v>
      </c>
      <c r="N233" s="289">
        <f t="shared" si="17"/>
        <v>0</v>
      </c>
      <c r="O233" s="11">
        <f t="shared" si="18"/>
        <v>0</v>
      </c>
      <c r="P233" s="11">
        <f>(A233-B233)*(Equations!$G$69*$Q$121+C233)</f>
        <v>0</v>
      </c>
      <c r="Q233" s="11">
        <f>(A233-B233)*(Equations!$G$69*$R$121+C233)</f>
        <v>0</v>
      </c>
      <c r="R233" s="11"/>
      <c r="S233" s="11"/>
      <c r="T233" s="11"/>
      <c r="U233" s="11"/>
      <c r="V233" s="11"/>
      <c r="W233" s="11"/>
      <c r="X233" s="11"/>
      <c r="Y233" s="11"/>
      <c r="Z233" s="11"/>
      <c r="AA233" s="11"/>
      <c r="AB233" s="11"/>
      <c r="AC233" s="11"/>
    </row>
    <row r="234" ht="12.0" customHeight="1">
      <c r="A234" s="11"/>
      <c r="B234" s="11"/>
      <c r="C234" s="11"/>
      <c r="D234" s="11"/>
      <c r="E234" s="11"/>
      <c r="F234" s="11"/>
      <c r="G234" s="11"/>
      <c r="H234" s="11"/>
      <c r="I234" s="11"/>
      <c r="J234" s="11"/>
      <c r="K234" s="288">
        <f>K233+0.5</f>
        <v>281.75</v>
      </c>
      <c r="L234" s="11"/>
      <c r="M234" s="11"/>
      <c r="N234" s="11">
        <v>0.0</v>
      </c>
      <c r="O234" s="11">
        <v>0.0</v>
      </c>
      <c r="P234" s="11"/>
      <c r="Q234" s="11"/>
      <c r="R234" s="11"/>
      <c r="S234" s="11"/>
      <c r="T234" s="11"/>
      <c r="U234" s="11"/>
      <c r="V234" s="11"/>
      <c r="W234" s="11"/>
      <c r="X234" s="11"/>
      <c r="Y234" s="11"/>
      <c r="Z234" s="11"/>
      <c r="AA234" s="11"/>
      <c r="AB234" s="11"/>
      <c r="AC234" s="11"/>
    </row>
    <row r="235" ht="12.0"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row>
    <row r="236" ht="12.0"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row>
    <row r="237" ht="12.0"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row>
    <row r="238" ht="12.0"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row>
    <row r="239" ht="12.0" customHeight="1">
      <c r="A239" s="11"/>
      <c r="B239" s="11" t="s">
        <v>429</v>
      </c>
      <c r="C239" s="11" t="s">
        <v>753</v>
      </c>
      <c r="D239" s="11" t="s">
        <v>754</v>
      </c>
      <c r="E239" s="11"/>
      <c r="F239" s="287" t="s">
        <v>755</v>
      </c>
      <c r="G239" s="287" t="s">
        <v>756</v>
      </c>
      <c r="H239" s="287" t="s">
        <v>757</v>
      </c>
      <c r="I239" s="287" t="s">
        <v>758</v>
      </c>
      <c r="J239" s="287" t="s">
        <v>759</v>
      </c>
      <c r="K239" s="287"/>
      <c r="L239" s="287"/>
      <c r="M239" s="287" t="s">
        <v>760</v>
      </c>
      <c r="N239" s="287"/>
      <c r="O239" s="287" t="s">
        <v>761</v>
      </c>
      <c r="P239" s="11"/>
      <c r="Q239" s="11" t="s">
        <v>762</v>
      </c>
      <c r="R239" s="11" t="s">
        <v>763</v>
      </c>
      <c r="S239" s="11"/>
      <c r="T239" s="11"/>
      <c r="U239" s="11"/>
      <c r="V239" s="11"/>
      <c r="W239" s="11"/>
      <c r="X239" s="11"/>
      <c r="Y239" s="11"/>
      <c r="Z239" s="11"/>
      <c r="AA239" s="11"/>
      <c r="AB239" s="11"/>
      <c r="AC239" s="11"/>
    </row>
    <row r="240" ht="12.0" customHeight="1">
      <c r="A240" s="11"/>
      <c r="B240" s="143">
        <f>'Design Calculator'!F52</f>
        <v>70.4</v>
      </c>
      <c r="C240" s="288">
        <f>'Design Calculator'!F42</f>
        <v>22</v>
      </c>
      <c r="D240" s="11" t="str">
        <f>IF( 'Design Calculator'!F28 = "Constant Current", "CC", "R")</f>
        <v>CC</v>
      </c>
      <c r="E240" s="11"/>
      <c r="F240" s="11" t="str">
        <f>'Design Calculator'!F30</f>
        <v>Soft Start</v>
      </c>
      <c r="G240" s="11">
        <f>'Design Calculator'!F29</f>
        <v>0.2</v>
      </c>
      <c r="H240" s="11">
        <f>'Design Calculator'!F27</f>
        <v>0</v>
      </c>
      <c r="I240" s="11">
        <f>RsEFF</f>
        <v>2.5</v>
      </c>
      <c r="J240" s="11">
        <f>'Device Parameters'!E12</f>
        <v>0.001</v>
      </c>
      <c r="K240" s="11"/>
      <c r="L240" s="11"/>
      <c r="M240" s="143">
        <f>J352*1000</f>
        <v>281.25</v>
      </c>
      <c r="N240" s="11" t="s">
        <v>77</v>
      </c>
      <c r="O240" s="268">
        <f>MIN(L248:L349)</f>
        <v>0.6153846154</v>
      </c>
      <c r="P240" s="11"/>
      <c r="Q240" s="11">
        <f>'Device Parameters'!E30/'Device Parameters'!D30</f>
        <v>1.375</v>
      </c>
      <c r="R240" s="11">
        <f>'Device Parameters'!C30/'Device Parameters'!D30</f>
        <v>0.625</v>
      </c>
      <c r="S240" s="11"/>
      <c r="T240" s="11"/>
      <c r="U240" s="11"/>
      <c r="V240" s="11"/>
      <c r="W240" s="11"/>
      <c r="X240" s="11"/>
      <c r="Y240" s="11"/>
      <c r="Z240" s="11"/>
      <c r="AA240" s="11"/>
      <c r="AB240" s="11"/>
      <c r="AC240" s="11"/>
    </row>
    <row r="241" ht="12.0" customHeight="1">
      <c r="A241" s="11"/>
      <c r="B241" s="143"/>
      <c r="C241" s="11"/>
      <c r="D241" s="11"/>
      <c r="E241" s="11"/>
      <c r="F241" s="11"/>
      <c r="G241" s="11"/>
      <c r="H241" s="11"/>
      <c r="I241" s="11"/>
      <c r="J241" s="11"/>
      <c r="K241" s="11"/>
      <c r="L241" s="11"/>
      <c r="M241" s="143"/>
      <c r="N241" s="11"/>
      <c r="O241" s="268"/>
      <c r="P241" s="11"/>
      <c r="Q241" s="11"/>
      <c r="R241" s="11"/>
      <c r="S241" s="11"/>
      <c r="T241" s="11"/>
      <c r="U241" s="11"/>
      <c r="V241" s="11"/>
      <c r="W241" s="11"/>
      <c r="X241" s="11"/>
      <c r="Y241" s="11"/>
      <c r="Z241" s="11"/>
      <c r="AA241" s="11"/>
      <c r="AB241" s="11"/>
      <c r="AC241" s="11"/>
    </row>
    <row r="242" ht="12.0" customHeight="1">
      <c r="A242" s="11"/>
      <c r="B242" s="143"/>
      <c r="C242" s="11"/>
      <c r="D242" s="11" t="s">
        <v>764</v>
      </c>
      <c r="E242" s="11"/>
      <c r="F242" s="11"/>
      <c r="G242" s="11"/>
      <c r="H242" s="11"/>
      <c r="I242" s="11"/>
      <c r="J242" s="11"/>
      <c r="K242" s="11"/>
      <c r="L242" s="11"/>
      <c r="M242" s="143" t="s">
        <v>765</v>
      </c>
      <c r="N242" s="11">
        <f>MIN(M248:M352)</f>
        <v>0.3244444444</v>
      </c>
      <c r="O242" s="268" t="s">
        <v>166</v>
      </c>
      <c r="P242" s="11" t="s">
        <v>766</v>
      </c>
      <c r="Q242" s="11">
        <f>MAX(O248:O352)</f>
        <v>15.6</v>
      </c>
      <c r="R242" s="11" t="s">
        <v>88</v>
      </c>
      <c r="S242" s="11"/>
      <c r="T242" s="11"/>
      <c r="U242" s="11"/>
      <c r="V242" s="11"/>
      <c r="W242" s="11"/>
      <c r="X242" s="11"/>
      <c r="Y242" s="11"/>
      <c r="Z242" s="11"/>
      <c r="AA242" s="11"/>
      <c r="AB242" s="11"/>
      <c r="AC242" s="11"/>
    </row>
    <row r="243" ht="12.0" customHeight="1">
      <c r="A243" s="11"/>
      <c r="B243" s="143"/>
      <c r="C243" s="11"/>
      <c r="D243" s="11"/>
      <c r="E243" s="11"/>
      <c r="F243" s="11"/>
      <c r="G243" s="11"/>
      <c r="H243" s="11"/>
      <c r="I243" s="11"/>
      <c r="J243" s="11"/>
      <c r="K243" s="11"/>
      <c r="L243" s="11"/>
      <c r="M243" s="11" t="s">
        <v>767</v>
      </c>
      <c r="N243" s="289">
        <f>SUM(N248:N352)</f>
        <v>2.17265625</v>
      </c>
      <c r="O243" s="268" t="s">
        <v>360</v>
      </c>
      <c r="P243" s="11" t="s">
        <v>768</v>
      </c>
      <c r="Q243" s="11">
        <f>MAX(P248:P352)</f>
        <v>19.2</v>
      </c>
      <c r="R243" s="11" t="s">
        <v>88</v>
      </c>
      <c r="S243" s="11"/>
      <c r="T243" s="11"/>
      <c r="U243" s="11"/>
      <c r="V243" s="11"/>
      <c r="W243" s="11"/>
      <c r="X243" s="11"/>
      <c r="Y243" s="11"/>
      <c r="Z243" s="11"/>
      <c r="AA243" s="11"/>
      <c r="AB243" s="11"/>
      <c r="AC243" s="11"/>
    </row>
    <row r="244" ht="12.0" customHeight="1">
      <c r="A244" s="11"/>
      <c r="B244" s="11"/>
      <c r="C244" s="11"/>
      <c r="D244" s="11"/>
      <c r="E244" s="11"/>
      <c r="F244" s="11"/>
      <c r="G244" s="11"/>
      <c r="H244" s="11"/>
      <c r="I244" s="11"/>
      <c r="J244" s="11"/>
      <c r="K244" s="11"/>
      <c r="L244" s="11"/>
      <c r="M244" s="11"/>
      <c r="N244" s="11"/>
      <c r="O244" s="11"/>
      <c r="P244" s="11" t="s">
        <v>769</v>
      </c>
      <c r="Q244" s="11">
        <f>MAX(Q248:Q352)</f>
        <v>12</v>
      </c>
      <c r="R244" s="11" t="s">
        <v>88</v>
      </c>
      <c r="S244" s="11"/>
      <c r="T244" s="11"/>
      <c r="U244" s="11"/>
      <c r="V244" s="11"/>
      <c r="W244" s="11"/>
      <c r="X244" s="11"/>
      <c r="Y244" s="11"/>
      <c r="Z244" s="11"/>
      <c r="AA244" s="11"/>
      <c r="AB244" s="11"/>
      <c r="AC244" s="11"/>
    </row>
    <row r="245" ht="12.0" customHeight="1">
      <c r="A245" s="290" t="s">
        <v>770</v>
      </c>
      <c r="B245" s="263" t="s">
        <v>771</v>
      </c>
      <c r="C245" s="263" t="s">
        <v>772</v>
      </c>
      <c r="D245" s="263" t="s">
        <v>429</v>
      </c>
      <c r="E245" s="263" t="s">
        <v>773</v>
      </c>
      <c r="F245" s="263" t="s">
        <v>774</v>
      </c>
      <c r="G245" s="263" t="s">
        <v>775</v>
      </c>
      <c r="H245" s="263" t="s">
        <v>776</v>
      </c>
      <c r="I245" s="263" t="s">
        <v>795</v>
      </c>
      <c r="J245" s="263" t="s">
        <v>778</v>
      </c>
      <c r="K245" s="263" t="s">
        <v>779</v>
      </c>
      <c r="L245" s="290" t="s">
        <v>780</v>
      </c>
      <c r="M245" s="290" t="s">
        <v>781</v>
      </c>
      <c r="N245" s="290" t="s">
        <v>782</v>
      </c>
      <c r="O245" s="290" t="s">
        <v>783</v>
      </c>
      <c r="P245" s="11" t="s">
        <v>784</v>
      </c>
      <c r="Q245" s="11" t="s">
        <v>785</v>
      </c>
      <c r="R245" s="11"/>
      <c r="S245" s="11"/>
      <c r="T245" s="11"/>
      <c r="U245" s="11"/>
      <c r="V245" s="11"/>
      <c r="W245" s="11"/>
      <c r="X245" s="11"/>
      <c r="Y245" s="11"/>
      <c r="Z245" s="11"/>
      <c r="AA245" s="11"/>
      <c r="AB245" s="11"/>
      <c r="AC245" s="11"/>
    </row>
    <row r="246" ht="12.0" customHeight="1">
      <c r="A246" s="290"/>
      <c r="B246" s="263"/>
      <c r="C246" s="263"/>
      <c r="D246" s="263"/>
      <c r="E246" s="263"/>
      <c r="F246" s="263"/>
      <c r="G246" s="263"/>
      <c r="H246" s="263"/>
      <c r="I246" s="263"/>
      <c r="J246" s="263"/>
      <c r="K246" s="291">
        <v>-1.0</v>
      </c>
      <c r="L246" s="290"/>
      <c r="M246" s="290"/>
      <c r="N246" s="290"/>
      <c r="O246" s="11">
        <v>0.0</v>
      </c>
      <c r="P246" s="11"/>
      <c r="Q246" s="11"/>
      <c r="R246" s="11"/>
      <c r="S246" s="11"/>
      <c r="T246" s="11"/>
      <c r="U246" s="11"/>
      <c r="V246" s="11"/>
      <c r="W246" s="11"/>
      <c r="X246" s="11"/>
      <c r="Y246" s="11"/>
      <c r="Z246" s="11"/>
      <c r="AA246" s="11"/>
      <c r="AB246" s="11"/>
      <c r="AC246" s="11"/>
    </row>
    <row r="247" ht="12.0" customHeight="1">
      <c r="A247" s="290"/>
      <c r="B247" s="263"/>
      <c r="C247" s="263"/>
      <c r="D247" s="263"/>
      <c r="E247" s="263"/>
      <c r="F247" s="263"/>
      <c r="G247" s="263"/>
      <c r="H247" s="263"/>
      <c r="I247" s="263"/>
      <c r="J247" s="263"/>
      <c r="K247" s="262">
        <v>-0.01</v>
      </c>
      <c r="L247" s="290"/>
      <c r="M247" s="290"/>
      <c r="N247" s="290"/>
      <c r="O247" s="11">
        <v>0.0</v>
      </c>
      <c r="P247" s="11"/>
      <c r="Q247" s="11"/>
      <c r="R247" s="11"/>
      <c r="S247" s="11"/>
      <c r="T247" s="11"/>
      <c r="U247" s="11"/>
      <c r="V247" s="11"/>
      <c r="W247" s="11"/>
      <c r="X247" s="11"/>
      <c r="Y247" s="11"/>
      <c r="Z247" s="11"/>
      <c r="AA247" s="11"/>
      <c r="AB247" s="11"/>
      <c r="AC247" s="11"/>
    </row>
    <row r="248" ht="12.0" customHeight="1">
      <c r="A248" s="11">
        <f>VINMAX</f>
        <v>30</v>
      </c>
      <c r="B248" s="292">
        <f>VINMAX*((ROW()-248)/104)</f>
        <v>0</v>
      </c>
      <c r="C248" s="267">
        <f t="shared" ref="C248:C352" si="21">IF(B248&gt;=$H$240,IF($D$240="CC", $G$240, B248/$G$240), 0)</f>
        <v>0.2</v>
      </c>
      <c r="D248" s="262">
        <f>B240</f>
        <v>70.4</v>
      </c>
      <c r="E248" s="252">
        <f t="shared" ref="E248:E348" si="22">MIN(D248/(A248-B248),$C$240)</f>
        <v>2.346666667</v>
      </c>
      <c r="F248" s="267">
        <f>Equations!$H$69+C248</f>
        <v>0.52</v>
      </c>
      <c r="G248" s="267">
        <f t="shared" ref="G248:G352" si="23">IF($F$240="Soft Start", F248, E248)</f>
        <v>0.52</v>
      </c>
      <c r="H248" s="267">
        <f t="shared" ref="H248:H352" si="24">G248-C248</f>
        <v>0.32</v>
      </c>
      <c r="I248" s="266">
        <f>(COUTMAX/1000000)*(B248)/H248</f>
        <v>0</v>
      </c>
      <c r="J248" s="266">
        <f>I248</f>
        <v>0</v>
      </c>
      <c r="K248" s="291">
        <f t="shared" ref="K248:K352" si="25">J248*1000</f>
        <v>0</v>
      </c>
      <c r="L248" s="268">
        <f t="shared" ref="L248:L352" si="26">H248/G248</f>
        <v>0.6153846154</v>
      </c>
      <c r="M248" s="11">
        <f>1/COUTMAX*(E248/2-C248)*1000</f>
        <v>0.3244444444</v>
      </c>
      <c r="N248" s="289">
        <f t="shared" ref="N248:N352" si="27">I248*G248*(A248-B248)</f>
        <v>0</v>
      </c>
      <c r="O248" s="11">
        <f t="shared" ref="O248:O352" si="28">G248*(A248-B248)</f>
        <v>15.6</v>
      </c>
      <c r="P248" s="11">
        <f>(A248-B248)*(Equations!$H$69*$Q$240+C248)</f>
        <v>19.2</v>
      </c>
      <c r="Q248" s="11">
        <f>(A248-B248)*(Equations!$H$69*$R$240+C248)</f>
        <v>12</v>
      </c>
      <c r="R248" s="11"/>
      <c r="S248" s="11"/>
      <c r="T248" s="11"/>
      <c r="U248" s="11"/>
      <c r="V248" s="11"/>
      <c r="W248" s="11"/>
      <c r="X248" s="11"/>
      <c r="Y248" s="11"/>
      <c r="Z248" s="11"/>
      <c r="AA248" s="11"/>
      <c r="AB248" s="11"/>
      <c r="AC248" s="11"/>
    </row>
    <row r="249" ht="12.0" customHeight="1">
      <c r="A249" s="11">
        <f>VINMAX</f>
        <v>30</v>
      </c>
      <c r="B249" s="292">
        <f>VINMAX*((ROW()-248)/104)</f>
        <v>0.2884615385</v>
      </c>
      <c r="C249" s="267">
        <f t="shared" si="21"/>
        <v>0.2</v>
      </c>
      <c r="D249" s="262">
        <f>B240</f>
        <v>70.4</v>
      </c>
      <c r="E249" s="252">
        <f t="shared" si="22"/>
        <v>2.369449838</v>
      </c>
      <c r="F249" s="267">
        <f>Equations!$H$69+C249</f>
        <v>0.52</v>
      </c>
      <c r="G249" s="267">
        <f t="shared" si="23"/>
        <v>0.52</v>
      </c>
      <c r="H249" s="267">
        <f t="shared" si="24"/>
        <v>0.32</v>
      </c>
      <c r="I249" s="266">
        <f>(COUTMAX/1000000)*(B249-B248)/H249</f>
        <v>0.002704326923</v>
      </c>
      <c r="J249" s="266">
        <f t="shared" ref="J249:J352" si="29">J248+I249</f>
        <v>0.002704326923</v>
      </c>
      <c r="K249" s="291">
        <f t="shared" si="25"/>
        <v>2.704326923</v>
      </c>
      <c r="L249" s="268">
        <f t="shared" si="26"/>
        <v>0.6153846154</v>
      </c>
      <c r="M249" s="11">
        <f>1/COUTMAX*(E249/2-C249)*1000</f>
        <v>0.3282416397</v>
      </c>
      <c r="N249" s="289">
        <f t="shared" si="27"/>
        <v>0.04178185096</v>
      </c>
      <c r="O249" s="11">
        <f t="shared" si="28"/>
        <v>15.45</v>
      </c>
      <c r="P249" s="11">
        <f>(A249-B249)*(Equations!$H$69*$Q$240+C249)</f>
        <v>19.01538462</v>
      </c>
      <c r="Q249" s="11">
        <f>(A249-B249)*(Equations!$H$69*$R$240+C249)</f>
        <v>11.88461538</v>
      </c>
      <c r="R249" s="11"/>
      <c r="S249" s="11"/>
      <c r="T249" s="11"/>
      <c r="U249" s="11"/>
      <c r="V249" s="11"/>
      <c r="W249" s="11"/>
      <c r="X249" s="11"/>
      <c r="Y249" s="11"/>
      <c r="Z249" s="11"/>
      <c r="AA249" s="11"/>
      <c r="AB249" s="11"/>
      <c r="AC249" s="11"/>
    </row>
    <row r="250" ht="12.0" customHeight="1">
      <c r="A250" s="11">
        <f>VINMAX</f>
        <v>30</v>
      </c>
      <c r="B250" s="292">
        <f>VINMAX*((ROW()-248)/104)</f>
        <v>0.5769230769</v>
      </c>
      <c r="C250" s="267">
        <f t="shared" si="21"/>
        <v>0.2</v>
      </c>
      <c r="D250" s="262">
        <f>B240</f>
        <v>70.4</v>
      </c>
      <c r="E250" s="252">
        <f t="shared" si="22"/>
        <v>2.392679739</v>
      </c>
      <c r="F250" s="267">
        <f>Equations!$H$69+C250</f>
        <v>0.52</v>
      </c>
      <c r="G250" s="267">
        <f t="shared" si="23"/>
        <v>0.52</v>
      </c>
      <c r="H250" s="267">
        <f t="shared" si="24"/>
        <v>0.32</v>
      </c>
      <c r="I250" s="266">
        <f>(COUTMAX/1000000)*(B250-B249)/H250</f>
        <v>0.002704326923</v>
      </c>
      <c r="J250" s="266">
        <f t="shared" si="29"/>
        <v>0.005408653846</v>
      </c>
      <c r="K250" s="291">
        <f t="shared" si="25"/>
        <v>5.408653846</v>
      </c>
      <c r="L250" s="268">
        <f t="shared" si="26"/>
        <v>0.6153846154</v>
      </c>
      <c r="M250" s="11">
        <f>1/COUTMAX*(E250/2-C250)*1000</f>
        <v>0.3321132898</v>
      </c>
      <c r="N250" s="289">
        <f t="shared" si="27"/>
        <v>0.04137620192</v>
      </c>
      <c r="O250" s="11">
        <f t="shared" si="28"/>
        <v>15.3</v>
      </c>
      <c r="P250" s="11">
        <f>(A250-B250)*(Equations!$H$69*$Q$240+C250)</f>
        <v>18.83076923</v>
      </c>
      <c r="Q250" s="11">
        <f>(A250-B250)*(Equations!$H$69*$R$240+C250)</f>
        <v>11.76923077</v>
      </c>
      <c r="R250" s="11"/>
      <c r="S250" s="11"/>
      <c r="T250" s="11"/>
      <c r="U250" s="11"/>
      <c r="V250" s="11"/>
      <c r="W250" s="11"/>
      <c r="X250" s="11"/>
      <c r="Y250" s="11"/>
      <c r="Z250" s="11"/>
      <c r="AA250" s="11"/>
      <c r="AB250" s="11"/>
      <c r="AC250" s="11"/>
    </row>
    <row r="251" ht="12.0" customHeight="1">
      <c r="A251" s="11">
        <f>VINMAX</f>
        <v>30</v>
      </c>
      <c r="B251" s="292">
        <f>VINMAX*((ROW()-248)/104)</f>
        <v>0.8653846154</v>
      </c>
      <c r="C251" s="267">
        <f t="shared" si="21"/>
        <v>0.2</v>
      </c>
      <c r="D251" s="262">
        <f>B240</f>
        <v>70.4</v>
      </c>
      <c r="E251" s="252">
        <f t="shared" si="22"/>
        <v>2.416369637</v>
      </c>
      <c r="F251" s="267">
        <f>Equations!$H$69+C251</f>
        <v>0.52</v>
      </c>
      <c r="G251" s="267">
        <f t="shared" si="23"/>
        <v>0.52</v>
      </c>
      <c r="H251" s="267">
        <f t="shared" si="24"/>
        <v>0.32</v>
      </c>
      <c r="I251" s="266">
        <f>(COUTMAX/1000000)*(B251-B250)/H251</f>
        <v>0.002704326923</v>
      </c>
      <c r="J251" s="266">
        <f t="shared" si="29"/>
        <v>0.008112980769</v>
      </c>
      <c r="K251" s="291">
        <f t="shared" si="25"/>
        <v>8.112980769</v>
      </c>
      <c r="L251" s="268">
        <f t="shared" si="26"/>
        <v>0.6153846154</v>
      </c>
      <c r="M251" s="11">
        <f>1/COUTMAX*(E251/2-C251)*1000</f>
        <v>0.3360616062</v>
      </c>
      <c r="N251" s="289">
        <f t="shared" si="27"/>
        <v>0.04097055288</v>
      </c>
      <c r="O251" s="11">
        <f t="shared" si="28"/>
        <v>15.15</v>
      </c>
      <c r="P251" s="11">
        <f>(A251-B251)*(Equations!$H$69*$Q$240+C251)</f>
        <v>18.64615385</v>
      </c>
      <c r="Q251" s="11">
        <f>(A251-B251)*(Equations!$H$69*$R$240+C251)</f>
        <v>11.65384615</v>
      </c>
      <c r="R251" s="11"/>
      <c r="S251" s="11"/>
      <c r="T251" s="11"/>
      <c r="U251" s="11"/>
      <c r="V251" s="11"/>
      <c r="W251" s="11"/>
      <c r="X251" s="11"/>
      <c r="Y251" s="11"/>
      <c r="Z251" s="11"/>
      <c r="AA251" s="11"/>
      <c r="AB251" s="11"/>
      <c r="AC251" s="11"/>
    </row>
    <row r="252" ht="12.0" customHeight="1">
      <c r="A252" s="11">
        <f>VINMAX</f>
        <v>30</v>
      </c>
      <c r="B252" s="292">
        <f>VINMAX*((ROW()-248)/104)</f>
        <v>1.153846154</v>
      </c>
      <c r="C252" s="267">
        <f t="shared" si="21"/>
        <v>0.2</v>
      </c>
      <c r="D252" s="262">
        <f>B240</f>
        <v>70.4</v>
      </c>
      <c r="E252" s="252">
        <f t="shared" si="22"/>
        <v>2.440533333</v>
      </c>
      <c r="F252" s="267">
        <f>Equations!$H$69+C252</f>
        <v>0.52</v>
      </c>
      <c r="G252" s="267">
        <f t="shared" si="23"/>
        <v>0.52</v>
      </c>
      <c r="H252" s="267">
        <f t="shared" si="24"/>
        <v>0.32</v>
      </c>
      <c r="I252" s="266">
        <f>(COUTMAX/1000000)*(B252-B251)/H252</f>
        <v>0.002704326923</v>
      </c>
      <c r="J252" s="266">
        <f t="shared" si="29"/>
        <v>0.01081730769</v>
      </c>
      <c r="K252" s="291">
        <f t="shared" si="25"/>
        <v>10.81730769</v>
      </c>
      <c r="L252" s="268">
        <f t="shared" si="26"/>
        <v>0.6153846154</v>
      </c>
      <c r="M252" s="11">
        <f>1/COUTMAX*(E252/2-C252)*1000</f>
        <v>0.3400888889</v>
      </c>
      <c r="N252" s="289">
        <f t="shared" si="27"/>
        <v>0.04056490385</v>
      </c>
      <c r="O252" s="11">
        <f t="shared" si="28"/>
        <v>15</v>
      </c>
      <c r="P252" s="11">
        <f>(A252-B252)*(Equations!$H$69*$Q$240+C252)</f>
        <v>18.46153846</v>
      </c>
      <c r="Q252" s="11">
        <f>(A252-B252)*(Equations!$H$69*$R$240+C252)</f>
        <v>11.53846154</v>
      </c>
      <c r="R252" s="11"/>
      <c r="S252" s="11"/>
      <c r="T252" s="11"/>
      <c r="U252" s="11"/>
      <c r="V252" s="11"/>
      <c r="W252" s="11"/>
      <c r="X252" s="11"/>
      <c r="Y252" s="11"/>
      <c r="Z252" s="11"/>
      <c r="AA252" s="11"/>
      <c r="AB252" s="11"/>
      <c r="AC252" s="11"/>
    </row>
    <row r="253" ht="12.0" customHeight="1">
      <c r="A253" s="11">
        <f>VINMAX</f>
        <v>30</v>
      </c>
      <c r="B253" s="292">
        <f>VINMAX*((ROW()-248)/104)</f>
        <v>1.442307692</v>
      </c>
      <c r="C253" s="267">
        <f t="shared" si="21"/>
        <v>0.2</v>
      </c>
      <c r="D253" s="262">
        <f>B240</f>
        <v>70.4</v>
      </c>
      <c r="E253" s="252">
        <f t="shared" si="22"/>
        <v>2.465185185</v>
      </c>
      <c r="F253" s="267">
        <f>Equations!$H$69+C253</f>
        <v>0.52</v>
      </c>
      <c r="G253" s="267">
        <f t="shared" si="23"/>
        <v>0.52</v>
      </c>
      <c r="H253" s="267">
        <f t="shared" si="24"/>
        <v>0.32</v>
      </c>
      <c r="I253" s="266">
        <f>(COUTMAX/1000000)*(B253-B252)/H253</f>
        <v>0.002704326923</v>
      </c>
      <c r="J253" s="266">
        <f t="shared" si="29"/>
        <v>0.01352163462</v>
      </c>
      <c r="K253" s="291">
        <f t="shared" si="25"/>
        <v>13.52163462</v>
      </c>
      <c r="L253" s="268">
        <f t="shared" si="26"/>
        <v>0.6153846154</v>
      </c>
      <c r="M253" s="11">
        <f>1/COUTMAX*(E253/2-C253)*1000</f>
        <v>0.3441975309</v>
      </c>
      <c r="N253" s="289">
        <f t="shared" si="27"/>
        <v>0.04015925481</v>
      </c>
      <c r="O253" s="11">
        <f t="shared" si="28"/>
        <v>14.85</v>
      </c>
      <c r="P253" s="11">
        <f>(A253-B253)*(Equations!$H$69*$Q$240+C253)</f>
        <v>18.27692308</v>
      </c>
      <c r="Q253" s="11">
        <f>(A253-B253)*(Equations!$H$69*$R$240+C253)</f>
        <v>11.42307692</v>
      </c>
      <c r="R253" s="11"/>
      <c r="S253" s="11"/>
      <c r="T253" s="11"/>
      <c r="U253" s="11"/>
      <c r="V253" s="11"/>
      <c r="W253" s="11"/>
      <c r="X253" s="11"/>
      <c r="Y253" s="11"/>
      <c r="Z253" s="11"/>
      <c r="AA253" s="11"/>
      <c r="AB253" s="11"/>
      <c r="AC253" s="11"/>
    </row>
    <row r="254" ht="12.0" customHeight="1">
      <c r="A254" s="11">
        <f>VINMAX</f>
        <v>30</v>
      </c>
      <c r="B254" s="292">
        <f>VINMAX*((ROW()-248)/104)</f>
        <v>1.730769231</v>
      </c>
      <c r="C254" s="267">
        <f t="shared" si="21"/>
        <v>0.2</v>
      </c>
      <c r="D254" s="262">
        <f>B240</f>
        <v>70.4</v>
      </c>
      <c r="E254" s="252">
        <f t="shared" si="22"/>
        <v>2.490340136</v>
      </c>
      <c r="F254" s="267">
        <f>Equations!$H$69+C254</f>
        <v>0.52</v>
      </c>
      <c r="G254" s="267">
        <f t="shared" si="23"/>
        <v>0.52</v>
      </c>
      <c r="H254" s="267">
        <f t="shared" si="24"/>
        <v>0.32</v>
      </c>
      <c r="I254" s="266">
        <f>(COUTMAX/1000000)*(B254-B253)/H254</f>
        <v>0.002704326923</v>
      </c>
      <c r="J254" s="266">
        <f t="shared" si="29"/>
        <v>0.01622596154</v>
      </c>
      <c r="K254" s="291">
        <f t="shared" si="25"/>
        <v>16.22596154</v>
      </c>
      <c r="L254" s="268">
        <f t="shared" si="26"/>
        <v>0.6153846154</v>
      </c>
      <c r="M254" s="11">
        <f>1/COUTMAX*(E254/2-C254)*1000</f>
        <v>0.3483900227</v>
      </c>
      <c r="N254" s="289">
        <f t="shared" si="27"/>
        <v>0.03975360577</v>
      </c>
      <c r="O254" s="11">
        <f t="shared" si="28"/>
        <v>14.7</v>
      </c>
      <c r="P254" s="11">
        <f>(A254-B254)*(Equations!$H$69*$Q$240+C254)</f>
        <v>18.09230769</v>
      </c>
      <c r="Q254" s="11">
        <f>(A254-B254)*(Equations!$H$69*$R$240+C254)</f>
        <v>11.30769231</v>
      </c>
      <c r="R254" s="11"/>
      <c r="S254" s="11"/>
      <c r="T254" s="11"/>
      <c r="U254" s="11"/>
      <c r="V254" s="11"/>
      <c r="W254" s="11"/>
      <c r="X254" s="11"/>
      <c r="Y254" s="11"/>
      <c r="Z254" s="11"/>
      <c r="AA254" s="11"/>
      <c r="AB254" s="11"/>
      <c r="AC254" s="11"/>
    </row>
    <row r="255" ht="12.0" customHeight="1">
      <c r="A255" s="11">
        <f>VINMAX</f>
        <v>30</v>
      </c>
      <c r="B255" s="292">
        <f>VINMAX*((ROW()-248)/104)</f>
        <v>2.019230769</v>
      </c>
      <c r="C255" s="267">
        <f t="shared" si="21"/>
        <v>0.2</v>
      </c>
      <c r="D255" s="262">
        <f>B240</f>
        <v>70.4</v>
      </c>
      <c r="E255" s="252">
        <f t="shared" si="22"/>
        <v>2.516013746</v>
      </c>
      <c r="F255" s="267">
        <f>Equations!$H$69+C255</f>
        <v>0.52</v>
      </c>
      <c r="G255" s="267">
        <f t="shared" si="23"/>
        <v>0.52</v>
      </c>
      <c r="H255" s="267">
        <f t="shared" si="24"/>
        <v>0.32</v>
      </c>
      <c r="I255" s="266">
        <f>(COUTMAX/1000000)*(B255-B254)/H255</f>
        <v>0.002704326923</v>
      </c>
      <c r="J255" s="266">
        <f t="shared" si="29"/>
        <v>0.01893028846</v>
      </c>
      <c r="K255" s="291">
        <f t="shared" si="25"/>
        <v>18.93028846</v>
      </c>
      <c r="L255" s="268">
        <f t="shared" si="26"/>
        <v>0.6153846154</v>
      </c>
      <c r="M255" s="11">
        <f>1/COUTMAX*(E255/2-C255)*1000</f>
        <v>0.3526689576</v>
      </c>
      <c r="N255" s="289">
        <f t="shared" si="27"/>
        <v>0.03934795673</v>
      </c>
      <c r="O255" s="11">
        <f t="shared" si="28"/>
        <v>14.55</v>
      </c>
      <c r="P255" s="11">
        <f>(A255-B255)*(Equations!$H$69*$Q$240+C255)</f>
        <v>17.90769231</v>
      </c>
      <c r="Q255" s="11">
        <f>(A255-B255)*(Equations!$H$69*$R$240+C255)</f>
        <v>11.19230769</v>
      </c>
      <c r="R255" s="11"/>
      <c r="S255" s="11"/>
      <c r="T255" s="11"/>
      <c r="U255" s="11"/>
      <c r="V255" s="11"/>
      <c r="W255" s="11"/>
      <c r="X255" s="11"/>
      <c r="Y255" s="11"/>
      <c r="Z255" s="11"/>
      <c r="AA255" s="11"/>
      <c r="AB255" s="11"/>
      <c r="AC255" s="11"/>
    </row>
    <row r="256" ht="12.0" customHeight="1">
      <c r="A256" s="11">
        <f>VINMAX</f>
        <v>30</v>
      </c>
      <c r="B256" s="292">
        <f>VINMAX*((ROW()-248)/104)</f>
        <v>2.307692308</v>
      </c>
      <c r="C256" s="267">
        <f t="shared" si="21"/>
        <v>0.2</v>
      </c>
      <c r="D256" s="262">
        <f>B240</f>
        <v>70.4</v>
      </c>
      <c r="E256" s="252">
        <f t="shared" si="22"/>
        <v>2.542222222</v>
      </c>
      <c r="F256" s="267">
        <f>Equations!$H$69+C256</f>
        <v>0.52</v>
      </c>
      <c r="G256" s="267">
        <f t="shared" si="23"/>
        <v>0.52</v>
      </c>
      <c r="H256" s="267">
        <f t="shared" si="24"/>
        <v>0.32</v>
      </c>
      <c r="I256" s="266">
        <f>(COUTMAX/1000000)*(B256-B255)/H256</f>
        <v>0.002704326923</v>
      </c>
      <c r="J256" s="266">
        <f t="shared" si="29"/>
        <v>0.02163461538</v>
      </c>
      <c r="K256" s="291">
        <f t="shared" si="25"/>
        <v>21.63461538</v>
      </c>
      <c r="L256" s="268">
        <f t="shared" si="26"/>
        <v>0.6153846154</v>
      </c>
      <c r="M256" s="11">
        <f>1/COUTMAX*(E256/2-C256)*1000</f>
        <v>0.357037037</v>
      </c>
      <c r="N256" s="289">
        <f t="shared" si="27"/>
        <v>0.03894230769</v>
      </c>
      <c r="O256" s="11">
        <f t="shared" si="28"/>
        <v>14.4</v>
      </c>
      <c r="P256" s="11">
        <f>(A256-B256)*(Equations!$H$69*$Q$240+C256)</f>
        <v>17.72307692</v>
      </c>
      <c r="Q256" s="11">
        <f>(A256-B256)*(Equations!$H$69*$R$240+C256)</f>
        <v>11.07692308</v>
      </c>
      <c r="R256" s="11"/>
      <c r="S256" s="11"/>
      <c r="T256" s="11"/>
      <c r="U256" s="11"/>
      <c r="V256" s="11"/>
      <c r="W256" s="11"/>
      <c r="X256" s="11"/>
      <c r="Y256" s="11"/>
      <c r="Z256" s="11"/>
      <c r="AA256" s="11"/>
      <c r="AB256" s="11"/>
      <c r="AC256" s="11"/>
    </row>
    <row r="257" ht="12.0" customHeight="1">
      <c r="A257" s="11">
        <f>VINMAX</f>
        <v>30</v>
      </c>
      <c r="B257" s="292">
        <f>VINMAX*((ROW()-248)/104)</f>
        <v>2.596153846</v>
      </c>
      <c r="C257" s="267">
        <f t="shared" si="21"/>
        <v>0.2</v>
      </c>
      <c r="D257" s="262">
        <f>B240</f>
        <v>70.4</v>
      </c>
      <c r="E257" s="252">
        <f t="shared" si="22"/>
        <v>2.568982456</v>
      </c>
      <c r="F257" s="267">
        <f>Equations!$H$69+C257</f>
        <v>0.52</v>
      </c>
      <c r="G257" s="267">
        <f t="shared" si="23"/>
        <v>0.52</v>
      </c>
      <c r="H257" s="267">
        <f t="shared" si="24"/>
        <v>0.32</v>
      </c>
      <c r="I257" s="266">
        <f>(COUTMAX/1000000)*(B257-B256)/H257</f>
        <v>0.002704326923</v>
      </c>
      <c r="J257" s="266">
        <f t="shared" si="29"/>
        <v>0.02433894231</v>
      </c>
      <c r="K257" s="291">
        <f t="shared" si="25"/>
        <v>24.33894231</v>
      </c>
      <c r="L257" s="268">
        <f t="shared" si="26"/>
        <v>0.6153846154</v>
      </c>
      <c r="M257" s="11">
        <f>1/COUTMAX*(E257/2-C257)*1000</f>
        <v>0.361497076</v>
      </c>
      <c r="N257" s="289">
        <f t="shared" si="27"/>
        <v>0.03853665865</v>
      </c>
      <c r="O257" s="11">
        <f t="shared" si="28"/>
        <v>14.25</v>
      </c>
      <c r="P257" s="11">
        <f>(A257-B257)*(Equations!$H$69*$Q$240+C257)</f>
        <v>17.53846154</v>
      </c>
      <c r="Q257" s="11">
        <f>(A257-B257)*(Equations!$H$69*$R$240+C257)</f>
        <v>10.96153846</v>
      </c>
      <c r="R257" s="11"/>
      <c r="S257" s="11"/>
      <c r="T257" s="11"/>
      <c r="U257" s="11"/>
      <c r="V257" s="11"/>
      <c r="W257" s="11"/>
      <c r="X257" s="11"/>
      <c r="Y257" s="11"/>
      <c r="Z257" s="11"/>
      <c r="AA257" s="11"/>
      <c r="AB257" s="11"/>
      <c r="AC257" s="11"/>
    </row>
    <row r="258" ht="12.0" customHeight="1">
      <c r="A258" s="11">
        <f>VINMAX</f>
        <v>30</v>
      </c>
      <c r="B258" s="292">
        <f>VINMAX*((ROW()-248)/104)</f>
        <v>2.884615385</v>
      </c>
      <c r="C258" s="267">
        <f t="shared" si="21"/>
        <v>0.2</v>
      </c>
      <c r="D258" s="262">
        <f>B240</f>
        <v>70.4</v>
      </c>
      <c r="E258" s="252">
        <f t="shared" si="22"/>
        <v>2.596312057</v>
      </c>
      <c r="F258" s="267">
        <f>Equations!$H$69+C258</f>
        <v>0.52</v>
      </c>
      <c r="G258" s="267">
        <f t="shared" si="23"/>
        <v>0.52</v>
      </c>
      <c r="H258" s="267">
        <f t="shared" si="24"/>
        <v>0.32</v>
      </c>
      <c r="I258" s="266">
        <f>(COUTMAX/1000000)*(B258-B257)/H258</f>
        <v>0.002704326923</v>
      </c>
      <c r="J258" s="266">
        <f t="shared" si="29"/>
        <v>0.02704326923</v>
      </c>
      <c r="K258" s="291">
        <f t="shared" si="25"/>
        <v>27.04326923</v>
      </c>
      <c r="L258" s="268">
        <f t="shared" si="26"/>
        <v>0.6153846154</v>
      </c>
      <c r="M258" s="11">
        <f>1/COUTMAX*(E258/2-C258)*1000</f>
        <v>0.3660520095</v>
      </c>
      <c r="N258" s="289">
        <f t="shared" si="27"/>
        <v>0.03813100962</v>
      </c>
      <c r="O258" s="11">
        <f t="shared" si="28"/>
        <v>14.1</v>
      </c>
      <c r="P258" s="11">
        <f>(A258-B258)*(Equations!$H$69*$Q$240+C258)</f>
        <v>17.35384615</v>
      </c>
      <c r="Q258" s="11">
        <f>(A258-B258)*(Equations!$H$69*$R$240+C258)</f>
        <v>10.84615385</v>
      </c>
      <c r="R258" s="11"/>
      <c r="S258" s="11"/>
      <c r="T258" s="11"/>
      <c r="U258" s="11"/>
      <c r="V258" s="11"/>
      <c r="W258" s="11"/>
      <c r="X258" s="11"/>
      <c r="Y258" s="11"/>
      <c r="Z258" s="11"/>
      <c r="AA258" s="11"/>
      <c r="AB258" s="11"/>
      <c r="AC258" s="11"/>
    </row>
    <row r="259" ht="12.0" customHeight="1">
      <c r="A259" s="11">
        <f>VINMAX</f>
        <v>30</v>
      </c>
      <c r="B259" s="292">
        <f>VINMAX*((ROW()-248)/104)</f>
        <v>3.173076923</v>
      </c>
      <c r="C259" s="267">
        <f t="shared" si="21"/>
        <v>0.2</v>
      </c>
      <c r="D259" s="262">
        <f>B240</f>
        <v>70.4</v>
      </c>
      <c r="E259" s="252">
        <f t="shared" si="22"/>
        <v>2.624229391</v>
      </c>
      <c r="F259" s="267">
        <f>Equations!$H$69+C259</f>
        <v>0.52</v>
      </c>
      <c r="G259" s="267">
        <f t="shared" si="23"/>
        <v>0.52</v>
      </c>
      <c r="H259" s="267">
        <f t="shared" si="24"/>
        <v>0.32</v>
      </c>
      <c r="I259" s="266">
        <f>(COUTMAX/1000000)*(B259-B258)/H259</f>
        <v>0.002704326923</v>
      </c>
      <c r="J259" s="266">
        <f t="shared" si="29"/>
        <v>0.02974759615</v>
      </c>
      <c r="K259" s="291">
        <f t="shared" si="25"/>
        <v>29.74759615</v>
      </c>
      <c r="L259" s="268">
        <f t="shared" si="26"/>
        <v>0.6153846154</v>
      </c>
      <c r="M259" s="11">
        <f>1/COUTMAX*(E259/2-C259)*1000</f>
        <v>0.3707048984</v>
      </c>
      <c r="N259" s="289">
        <f t="shared" si="27"/>
        <v>0.03772536058</v>
      </c>
      <c r="O259" s="11">
        <f t="shared" si="28"/>
        <v>13.95</v>
      </c>
      <c r="P259" s="11">
        <f>(A259-B259)*(Equations!$H$69*$Q$240+C259)</f>
        <v>17.16923077</v>
      </c>
      <c r="Q259" s="11">
        <f>(A259-B259)*(Equations!$H$69*$R$240+C259)</f>
        <v>10.73076923</v>
      </c>
      <c r="R259" s="11"/>
      <c r="S259" s="11"/>
      <c r="T259" s="11"/>
      <c r="U259" s="11"/>
      <c r="V259" s="11"/>
      <c r="W259" s="11"/>
      <c r="X259" s="11"/>
      <c r="Y259" s="11"/>
      <c r="Z259" s="11"/>
      <c r="AA259" s="11"/>
      <c r="AB259" s="11"/>
      <c r="AC259" s="11"/>
    </row>
    <row r="260" ht="12.0" customHeight="1">
      <c r="A260" s="11">
        <f>VINMAX</f>
        <v>30</v>
      </c>
      <c r="B260" s="292">
        <f>VINMAX*((ROW()-248)/104)</f>
        <v>3.461538462</v>
      </c>
      <c r="C260" s="267">
        <f t="shared" si="21"/>
        <v>0.2</v>
      </c>
      <c r="D260" s="262">
        <f>B240</f>
        <v>70.4</v>
      </c>
      <c r="E260" s="252">
        <f t="shared" si="22"/>
        <v>2.652753623</v>
      </c>
      <c r="F260" s="267">
        <f>Equations!$H$69+C260</f>
        <v>0.52</v>
      </c>
      <c r="G260" s="267">
        <f t="shared" si="23"/>
        <v>0.52</v>
      </c>
      <c r="H260" s="267">
        <f t="shared" si="24"/>
        <v>0.32</v>
      </c>
      <c r="I260" s="266">
        <f>(COUTMAX/1000000)*(B260-B259)/H260</f>
        <v>0.002704326923</v>
      </c>
      <c r="J260" s="266">
        <f t="shared" si="29"/>
        <v>0.03245192308</v>
      </c>
      <c r="K260" s="291">
        <f t="shared" si="25"/>
        <v>32.45192308</v>
      </c>
      <c r="L260" s="268">
        <f t="shared" si="26"/>
        <v>0.6153846154</v>
      </c>
      <c r="M260" s="11">
        <f>1/COUTMAX*(E260/2-C260)*1000</f>
        <v>0.3754589372</v>
      </c>
      <c r="N260" s="289">
        <f t="shared" si="27"/>
        <v>0.03731971154</v>
      </c>
      <c r="O260" s="11">
        <f t="shared" si="28"/>
        <v>13.8</v>
      </c>
      <c r="P260" s="11">
        <f>(A260-B260)*(Equations!$H$69*$Q$240+C260)</f>
        <v>16.98461538</v>
      </c>
      <c r="Q260" s="11">
        <f>(A260-B260)*(Equations!$H$69*$R$240+C260)</f>
        <v>10.61538462</v>
      </c>
      <c r="R260" s="11"/>
      <c r="S260" s="11"/>
      <c r="T260" s="11"/>
      <c r="U260" s="11"/>
      <c r="V260" s="11"/>
      <c r="W260" s="11"/>
      <c r="X260" s="11"/>
      <c r="Y260" s="11"/>
      <c r="Z260" s="11"/>
      <c r="AA260" s="11"/>
      <c r="AB260" s="11"/>
      <c r="AC260" s="11"/>
    </row>
    <row r="261" ht="12.0" customHeight="1">
      <c r="A261" s="11">
        <f>VINMAX</f>
        <v>30</v>
      </c>
      <c r="B261" s="292">
        <f>VINMAX*((ROW()-248)/104)</f>
        <v>3.75</v>
      </c>
      <c r="C261" s="267">
        <f t="shared" si="21"/>
        <v>0.2</v>
      </c>
      <c r="D261" s="262">
        <f>B240</f>
        <v>70.4</v>
      </c>
      <c r="E261" s="252">
        <f t="shared" si="22"/>
        <v>2.681904762</v>
      </c>
      <c r="F261" s="267">
        <f>Equations!$H$69+C261</f>
        <v>0.52</v>
      </c>
      <c r="G261" s="267">
        <f t="shared" si="23"/>
        <v>0.52</v>
      </c>
      <c r="H261" s="267">
        <f t="shared" si="24"/>
        <v>0.32</v>
      </c>
      <c r="I261" s="266">
        <f>(COUTMAX/1000000)*(B261-B260)/H261</f>
        <v>0.002704326923</v>
      </c>
      <c r="J261" s="266">
        <f t="shared" si="29"/>
        <v>0.03515625</v>
      </c>
      <c r="K261" s="291">
        <f t="shared" si="25"/>
        <v>35.15625</v>
      </c>
      <c r="L261" s="268">
        <f t="shared" si="26"/>
        <v>0.6153846154</v>
      </c>
      <c r="M261" s="11">
        <f>1/COUTMAX*(E261/2-C261)*1000</f>
        <v>0.3803174603</v>
      </c>
      <c r="N261" s="289">
        <f t="shared" si="27"/>
        <v>0.0369140625</v>
      </c>
      <c r="O261" s="11">
        <f t="shared" si="28"/>
        <v>13.65</v>
      </c>
      <c r="P261" s="11">
        <f>(A261-B261)*(Equations!$H$69*$Q$240+C261)</f>
        <v>16.8</v>
      </c>
      <c r="Q261" s="11">
        <f>(A261-B261)*(Equations!$H$69*$R$240+C261)</f>
        <v>10.5</v>
      </c>
      <c r="R261" s="11"/>
      <c r="S261" s="11"/>
      <c r="T261" s="11"/>
      <c r="U261" s="11"/>
      <c r="V261" s="11"/>
      <c r="W261" s="11"/>
      <c r="X261" s="11"/>
      <c r="Y261" s="11"/>
      <c r="Z261" s="11"/>
      <c r="AA261" s="11"/>
      <c r="AB261" s="11"/>
      <c r="AC261" s="11"/>
    </row>
    <row r="262" ht="12.0" customHeight="1">
      <c r="A262" s="11">
        <f>VINMAX</f>
        <v>30</v>
      </c>
      <c r="B262" s="292">
        <f>VINMAX*((ROW()-248)/104)</f>
        <v>4.038461538</v>
      </c>
      <c r="C262" s="267">
        <f t="shared" si="21"/>
        <v>0.2</v>
      </c>
      <c r="D262" s="262">
        <f>B240</f>
        <v>70.4</v>
      </c>
      <c r="E262" s="252">
        <f t="shared" si="22"/>
        <v>2.711703704</v>
      </c>
      <c r="F262" s="267">
        <f>Equations!$H$69+C262</f>
        <v>0.52</v>
      </c>
      <c r="G262" s="267">
        <f t="shared" si="23"/>
        <v>0.52</v>
      </c>
      <c r="H262" s="267">
        <f t="shared" si="24"/>
        <v>0.32</v>
      </c>
      <c r="I262" s="266">
        <f>(COUTMAX/1000000)*(B262-B261)/H262</f>
        <v>0.002704326923</v>
      </c>
      <c r="J262" s="266">
        <f t="shared" si="29"/>
        <v>0.03786057692</v>
      </c>
      <c r="K262" s="291">
        <f t="shared" si="25"/>
        <v>37.86057692</v>
      </c>
      <c r="L262" s="268">
        <f t="shared" si="26"/>
        <v>0.6153846154</v>
      </c>
      <c r="M262" s="11">
        <f>1/COUTMAX*(E262/2-C262)*1000</f>
        <v>0.3852839506</v>
      </c>
      <c r="N262" s="289">
        <f t="shared" si="27"/>
        <v>0.03650841346</v>
      </c>
      <c r="O262" s="11">
        <f t="shared" si="28"/>
        <v>13.5</v>
      </c>
      <c r="P262" s="11">
        <f>(A262-B262)*(Equations!$H$69*$Q$240+C262)</f>
        <v>16.61538462</v>
      </c>
      <c r="Q262" s="11">
        <f>(A262-B262)*(Equations!$H$69*$R$240+C262)</f>
        <v>10.38461538</v>
      </c>
      <c r="R262" s="11"/>
      <c r="S262" s="11"/>
      <c r="T262" s="11"/>
      <c r="U262" s="11"/>
      <c r="V262" s="11"/>
      <c r="W262" s="11"/>
      <c r="X262" s="11"/>
      <c r="Y262" s="11"/>
      <c r="Z262" s="11"/>
      <c r="AA262" s="11"/>
      <c r="AB262" s="11"/>
      <c r="AC262" s="11"/>
    </row>
    <row r="263" ht="12.0" customHeight="1">
      <c r="A263" s="11">
        <f>VINMAX</f>
        <v>30</v>
      </c>
      <c r="B263" s="292">
        <f>VINMAX*((ROW()-248)/104)</f>
        <v>4.326923077</v>
      </c>
      <c r="C263" s="267">
        <f t="shared" si="21"/>
        <v>0.2</v>
      </c>
      <c r="D263" s="262">
        <f>B240</f>
        <v>70.4</v>
      </c>
      <c r="E263" s="252">
        <f t="shared" si="22"/>
        <v>2.742172285</v>
      </c>
      <c r="F263" s="267">
        <f>Equations!$H$69+C263</f>
        <v>0.52</v>
      </c>
      <c r="G263" s="267">
        <f t="shared" si="23"/>
        <v>0.52</v>
      </c>
      <c r="H263" s="267">
        <f t="shared" si="24"/>
        <v>0.32</v>
      </c>
      <c r="I263" s="266">
        <f>(COUTMAX/1000000)*(B263-B262)/H263</f>
        <v>0.002704326923</v>
      </c>
      <c r="J263" s="266">
        <f t="shared" si="29"/>
        <v>0.04056490385</v>
      </c>
      <c r="K263" s="291">
        <f t="shared" si="25"/>
        <v>40.56490385</v>
      </c>
      <c r="L263" s="268">
        <f t="shared" si="26"/>
        <v>0.6153846154</v>
      </c>
      <c r="M263" s="11">
        <f>1/COUTMAX*(E263/2-C263)*1000</f>
        <v>0.3903620474</v>
      </c>
      <c r="N263" s="289">
        <f t="shared" si="27"/>
        <v>0.03610276442</v>
      </c>
      <c r="O263" s="11">
        <f t="shared" si="28"/>
        <v>13.35</v>
      </c>
      <c r="P263" s="11">
        <f>(A263-B263)*(Equations!$H$69*$Q$240+C263)</f>
        <v>16.43076923</v>
      </c>
      <c r="Q263" s="11">
        <f>(A263-B263)*(Equations!$H$69*$R$240+C263)</f>
        <v>10.26923077</v>
      </c>
      <c r="R263" s="11"/>
      <c r="S263" s="11"/>
      <c r="T263" s="11"/>
      <c r="U263" s="11"/>
      <c r="V263" s="11"/>
      <c r="W263" s="11"/>
      <c r="X263" s="11"/>
      <c r="Y263" s="11"/>
      <c r="Z263" s="11"/>
      <c r="AA263" s="11"/>
      <c r="AB263" s="11"/>
      <c r="AC263" s="11"/>
    </row>
    <row r="264" ht="12.0" customHeight="1">
      <c r="A264" s="11">
        <f>VINMAX</f>
        <v>30</v>
      </c>
      <c r="B264" s="292">
        <f>VINMAX*((ROW()-248)/104)</f>
        <v>4.615384615</v>
      </c>
      <c r="C264" s="267">
        <f t="shared" si="21"/>
        <v>0.2</v>
      </c>
      <c r="D264" s="262">
        <f>B240</f>
        <v>70.4</v>
      </c>
      <c r="E264" s="252">
        <f t="shared" si="22"/>
        <v>2.773333333</v>
      </c>
      <c r="F264" s="267">
        <f>Equations!$H$69+C264</f>
        <v>0.52</v>
      </c>
      <c r="G264" s="267">
        <f t="shared" si="23"/>
        <v>0.52</v>
      </c>
      <c r="H264" s="267">
        <f t="shared" si="24"/>
        <v>0.32</v>
      </c>
      <c r="I264" s="266">
        <f>(COUTMAX/1000000)*(B264-B263)/H264</f>
        <v>0.002704326923</v>
      </c>
      <c r="J264" s="266">
        <f t="shared" si="29"/>
        <v>0.04326923077</v>
      </c>
      <c r="K264" s="291">
        <f t="shared" si="25"/>
        <v>43.26923077</v>
      </c>
      <c r="L264" s="268">
        <f t="shared" si="26"/>
        <v>0.6153846154</v>
      </c>
      <c r="M264" s="11">
        <f>1/COUTMAX*(E264/2-C264)*1000</f>
        <v>0.3955555556</v>
      </c>
      <c r="N264" s="289">
        <f t="shared" si="27"/>
        <v>0.03569711538</v>
      </c>
      <c r="O264" s="11">
        <f t="shared" si="28"/>
        <v>13.2</v>
      </c>
      <c r="P264" s="11">
        <f>(A264-B264)*(Equations!$H$69*$Q$240+C264)</f>
        <v>16.24615385</v>
      </c>
      <c r="Q264" s="11">
        <f>(A264-B264)*(Equations!$H$69*$R$240+C264)</f>
        <v>10.15384615</v>
      </c>
      <c r="R264" s="11"/>
      <c r="S264" s="11"/>
      <c r="T264" s="11"/>
      <c r="U264" s="11"/>
      <c r="V264" s="11"/>
      <c r="W264" s="11"/>
      <c r="X264" s="11"/>
      <c r="Y264" s="11"/>
      <c r="Z264" s="11"/>
      <c r="AA264" s="11"/>
      <c r="AB264" s="11"/>
      <c r="AC264" s="11"/>
    </row>
    <row r="265" ht="12.0" customHeight="1">
      <c r="A265" s="11">
        <f>VINMAX</f>
        <v>30</v>
      </c>
      <c r="B265" s="292">
        <f>VINMAX*((ROW()-248)/104)</f>
        <v>4.903846154</v>
      </c>
      <c r="C265" s="267">
        <f t="shared" si="21"/>
        <v>0.2</v>
      </c>
      <c r="D265" s="262">
        <f>B240</f>
        <v>70.4</v>
      </c>
      <c r="E265" s="252">
        <f t="shared" si="22"/>
        <v>2.805210728</v>
      </c>
      <c r="F265" s="267">
        <f>Equations!$H$69+C265</f>
        <v>0.52</v>
      </c>
      <c r="G265" s="267">
        <f t="shared" si="23"/>
        <v>0.52</v>
      </c>
      <c r="H265" s="267">
        <f t="shared" si="24"/>
        <v>0.32</v>
      </c>
      <c r="I265" s="266">
        <f>(COUTMAX/1000000)*(B265-B264)/H265</f>
        <v>0.002704326923</v>
      </c>
      <c r="J265" s="266">
        <f t="shared" si="29"/>
        <v>0.04597355769</v>
      </c>
      <c r="K265" s="291">
        <f t="shared" si="25"/>
        <v>45.97355769</v>
      </c>
      <c r="L265" s="268">
        <f t="shared" si="26"/>
        <v>0.6153846154</v>
      </c>
      <c r="M265" s="11">
        <f>1/COUTMAX*(E265/2-C265)*1000</f>
        <v>0.4008684547</v>
      </c>
      <c r="N265" s="289">
        <f t="shared" si="27"/>
        <v>0.03529146635</v>
      </c>
      <c r="O265" s="11">
        <f t="shared" si="28"/>
        <v>13.05</v>
      </c>
      <c r="P265" s="11">
        <f>(A265-B265)*(Equations!$H$69*$Q$240+C265)</f>
        <v>16.06153846</v>
      </c>
      <c r="Q265" s="11">
        <f>(A265-B265)*(Equations!$H$69*$R$240+C265)</f>
        <v>10.03846154</v>
      </c>
      <c r="R265" s="11"/>
      <c r="S265" s="11"/>
      <c r="T265" s="11"/>
      <c r="U265" s="11"/>
      <c r="V265" s="11"/>
      <c r="W265" s="11"/>
      <c r="X265" s="11"/>
      <c r="Y265" s="11"/>
      <c r="Z265" s="11"/>
      <c r="AA265" s="11"/>
      <c r="AB265" s="11"/>
      <c r="AC265" s="11"/>
    </row>
    <row r="266" ht="12.0" customHeight="1">
      <c r="A266" s="11">
        <f>VINMAX</f>
        <v>30</v>
      </c>
      <c r="B266" s="292">
        <f>VINMAX*((ROW()-248)/104)</f>
        <v>5.192307692</v>
      </c>
      <c r="C266" s="267">
        <f t="shared" si="21"/>
        <v>0.2</v>
      </c>
      <c r="D266" s="262">
        <f>B240</f>
        <v>70.4</v>
      </c>
      <c r="E266" s="252">
        <f t="shared" si="22"/>
        <v>2.837829457</v>
      </c>
      <c r="F266" s="267">
        <f>Equations!$H$69+C266</f>
        <v>0.52</v>
      </c>
      <c r="G266" s="267">
        <f t="shared" si="23"/>
        <v>0.52</v>
      </c>
      <c r="H266" s="267">
        <f t="shared" si="24"/>
        <v>0.32</v>
      </c>
      <c r="I266" s="266">
        <f>(COUTMAX/1000000)*(B266-B265)/H266</f>
        <v>0.002704326923</v>
      </c>
      <c r="J266" s="266">
        <f t="shared" si="29"/>
        <v>0.04867788462</v>
      </c>
      <c r="K266" s="291">
        <f t="shared" si="25"/>
        <v>48.67788462</v>
      </c>
      <c r="L266" s="268">
        <f t="shared" si="26"/>
        <v>0.6153846154</v>
      </c>
      <c r="M266" s="11">
        <f>1/COUTMAX*(E266/2-C266)*1000</f>
        <v>0.4063049096</v>
      </c>
      <c r="N266" s="289">
        <f t="shared" si="27"/>
        <v>0.03488581731</v>
      </c>
      <c r="O266" s="11">
        <f t="shared" si="28"/>
        <v>12.9</v>
      </c>
      <c r="P266" s="11">
        <f>(A266-B266)*(Equations!$H$69*$Q$240+C266)</f>
        <v>15.87692308</v>
      </c>
      <c r="Q266" s="11">
        <f>(A266-B266)*(Equations!$H$69*$R$240+C266)</f>
        <v>9.923076923</v>
      </c>
      <c r="R266" s="11"/>
      <c r="S266" s="11"/>
      <c r="T266" s="11"/>
      <c r="U266" s="11"/>
      <c r="V266" s="11"/>
      <c r="W266" s="11"/>
      <c r="X266" s="11"/>
      <c r="Y266" s="11"/>
      <c r="Z266" s="11"/>
      <c r="AA266" s="11"/>
      <c r="AB266" s="11"/>
      <c r="AC266" s="11"/>
    </row>
    <row r="267" ht="12.0" customHeight="1">
      <c r="A267" s="11">
        <f>VINMAX</f>
        <v>30</v>
      </c>
      <c r="B267" s="292">
        <f>VINMAX*((ROW()-248)/104)</f>
        <v>5.480769231</v>
      </c>
      <c r="C267" s="267">
        <f t="shared" si="21"/>
        <v>0.2</v>
      </c>
      <c r="D267" s="262">
        <f>B240</f>
        <v>70.4</v>
      </c>
      <c r="E267" s="252">
        <f t="shared" si="22"/>
        <v>2.871215686</v>
      </c>
      <c r="F267" s="267">
        <f>Equations!$H$69+C267</f>
        <v>0.52</v>
      </c>
      <c r="G267" s="267">
        <f t="shared" si="23"/>
        <v>0.52</v>
      </c>
      <c r="H267" s="267">
        <f t="shared" si="24"/>
        <v>0.32</v>
      </c>
      <c r="I267" s="266">
        <f>(COUTMAX/1000000)*(B267-B266)/H267</f>
        <v>0.002704326923</v>
      </c>
      <c r="J267" s="266">
        <f t="shared" si="29"/>
        <v>0.05138221154</v>
      </c>
      <c r="K267" s="291">
        <f t="shared" si="25"/>
        <v>51.38221154</v>
      </c>
      <c r="L267" s="268">
        <f t="shared" si="26"/>
        <v>0.6153846154</v>
      </c>
      <c r="M267" s="11">
        <f>1/COUTMAX*(E267/2-C267)*1000</f>
        <v>0.411869281</v>
      </c>
      <c r="N267" s="289">
        <f t="shared" si="27"/>
        <v>0.03448016827</v>
      </c>
      <c r="O267" s="11">
        <f t="shared" si="28"/>
        <v>12.75</v>
      </c>
      <c r="P267" s="11">
        <f>(A267-B267)*(Equations!$H$69*$Q$240+C267)</f>
        <v>15.69230769</v>
      </c>
      <c r="Q267" s="11">
        <f>(A267-B267)*(Equations!$H$69*$R$240+C267)</f>
        <v>9.807692308</v>
      </c>
      <c r="R267" s="11"/>
      <c r="S267" s="11"/>
      <c r="T267" s="11"/>
      <c r="U267" s="11"/>
      <c r="V267" s="11"/>
      <c r="W267" s="11"/>
      <c r="X267" s="11"/>
      <c r="Y267" s="11"/>
      <c r="Z267" s="11"/>
      <c r="AA267" s="11"/>
      <c r="AB267" s="11"/>
      <c r="AC267" s="11"/>
    </row>
    <row r="268" ht="12.0" customHeight="1">
      <c r="A268" s="11">
        <f>VINMAX</f>
        <v>30</v>
      </c>
      <c r="B268" s="292">
        <f>VINMAX*((ROW()-248)/104)</f>
        <v>5.769230769</v>
      </c>
      <c r="C268" s="267">
        <f t="shared" si="21"/>
        <v>0.2</v>
      </c>
      <c r="D268" s="262">
        <f>B240</f>
        <v>70.4</v>
      </c>
      <c r="E268" s="252">
        <f t="shared" si="22"/>
        <v>2.905396825</v>
      </c>
      <c r="F268" s="267">
        <f>Equations!$H$69+C268</f>
        <v>0.52</v>
      </c>
      <c r="G268" s="267">
        <f t="shared" si="23"/>
        <v>0.52</v>
      </c>
      <c r="H268" s="267">
        <f t="shared" si="24"/>
        <v>0.32</v>
      </c>
      <c r="I268" s="266">
        <f>(COUTMAX/1000000)*(B268-B267)/H268</f>
        <v>0.002704326923</v>
      </c>
      <c r="J268" s="266">
        <f t="shared" si="29"/>
        <v>0.05408653846</v>
      </c>
      <c r="K268" s="291">
        <f t="shared" si="25"/>
        <v>54.08653846</v>
      </c>
      <c r="L268" s="268">
        <f t="shared" si="26"/>
        <v>0.6153846154</v>
      </c>
      <c r="M268" s="11">
        <f>1/COUTMAX*(E268/2-C268)*1000</f>
        <v>0.4175661376</v>
      </c>
      <c r="N268" s="289">
        <f t="shared" si="27"/>
        <v>0.03407451923</v>
      </c>
      <c r="O268" s="11">
        <f t="shared" si="28"/>
        <v>12.6</v>
      </c>
      <c r="P268" s="11">
        <f>(A268-B268)*(Equations!$H$69*$Q$240+C268)</f>
        <v>15.50769231</v>
      </c>
      <c r="Q268" s="11">
        <f>(A268-B268)*(Equations!$H$69*$R$240+C268)</f>
        <v>9.692307692</v>
      </c>
      <c r="R268" s="11"/>
      <c r="S268" s="11"/>
      <c r="T268" s="11"/>
      <c r="U268" s="11"/>
      <c r="V268" s="11"/>
      <c r="W268" s="11"/>
      <c r="X268" s="11"/>
      <c r="Y268" s="11"/>
      <c r="Z268" s="11"/>
      <c r="AA268" s="11"/>
      <c r="AB268" s="11"/>
      <c r="AC268" s="11"/>
    </row>
    <row r="269" ht="12.0" customHeight="1">
      <c r="A269" s="11">
        <f>VINMAX</f>
        <v>30</v>
      </c>
      <c r="B269" s="292">
        <f>VINMAX*((ROW()-248)/104)</f>
        <v>6.057692308</v>
      </c>
      <c r="C269" s="267">
        <f t="shared" si="21"/>
        <v>0.2</v>
      </c>
      <c r="D269" s="262">
        <f>B240</f>
        <v>70.4</v>
      </c>
      <c r="E269" s="252">
        <f t="shared" si="22"/>
        <v>2.940401606</v>
      </c>
      <c r="F269" s="267">
        <f>Equations!$H$69+C269</f>
        <v>0.52</v>
      </c>
      <c r="G269" s="267">
        <f t="shared" si="23"/>
        <v>0.52</v>
      </c>
      <c r="H269" s="267">
        <f t="shared" si="24"/>
        <v>0.32</v>
      </c>
      <c r="I269" s="266">
        <f>(COUTMAX/1000000)*(B269-B268)/H269</f>
        <v>0.002704326923</v>
      </c>
      <c r="J269" s="266">
        <f t="shared" si="29"/>
        <v>0.05679086538</v>
      </c>
      <c r="K269" s="291">
        <f t="shared" si="25"/>
        <v>56.79086538</v>
      </c>
      <c r="L269" s="268">
        <f t="shared" si="26"/>
        <v>0.6153846154</v>
      </c>
      <c r="M269" s="11">
        <f>1/COUTMAX*(E269/2-C269)*1000</f>
        <v>0.4234002677</v>
      </c>
      <c r="N269" s="289">
        <f t="shared" si="27"/>
        <v>0.03366887019</v>
      </c>
      <c r="O269" s="11">
        <f t="shared" si="28"/>
        <v>12.45</v>
      </c>
      <c r="P269" s="11">
        <f>(A269-B269)*(Equations!$H$69*$Q$240+C269)</f>
        <v>15.32307692</v>
      </c>
      <c r="Q269" s="11">
        <f>(A269-B269)*(Equations!$H$69*$R$240+C269)</f>
        <v>9.576923077</v>
      </c>
      <c r="R269" s="11"/>
      <c r="S269" s="11"/>
      <c r="T269" s="11"/>
      <c r="U269" s="11"/>
      <c r="V269" s="11"/>
      <c r="W269" s="11"/>
      <c r="X269" s="11"/>
      <c r="Y269" s="11"/>
      <c r="Z269" s="11"/>
      <c r="AA269" s="11"/>
      <c r="AB269" s="11"/>
      <c r="AC269" s="11"/>
    </row>
    <row r="270" ht="12.0" customHeight="1">
      <c r="A270" s="11">
        <f>VINMAX</f>
        <v>30</v>
      </c>
      <c r="B270" s="292">
        <f>VINMAX*((ROW()-248)/104)</f>
        <v>6.346153846</v>
      </c>
      <c r="C270" s="267">
        <f t="shared" si="21"/>
        <v>0.2</v>
      </c>
      <c r="D270" s="262">
        <f>B240</f>
        <v>70.4</v>
      </c>
      <c r="E270" s="252">
        <f t="shared" si="22"/>
        <v>2.976260163</v>
      </c>
      <c r="F270" s="267">
        <f>Equations!$H$69+C270</f>
        <v>0.52</v>
      </c>
      <c r="G270" s="267">
        <f t="shared" si="23"/>
        <v>0.52</v>
      </c>
      <c r="H270" s="267">
        <f t="shared" si="24"/>
        <v>0.32</v>
      </c>
      <c r="I270" s="266">
        <f>(COUTMAX/1000000)*(B270-B269)/H270</f>
        <v>0.002704326923</v>
      </c>
      <c r="J270" s="266">
        <f t="shared" si="29"/>
        <v>0.05949519231</v>
      </c>
      <c r="K270" s="291">
        <f t="shared" si="25"/>
        <v>59.49519231</v>
      </c>
      <c r="L270" s="268">
        <f t="shared" si="26"/>
        <v>0.6153846154</v>
      </c>
      <c r="M270" s="11">
        <f>1/COUTMAX*(E270/2-C270)*1000</f>
        <v>0.4293766938</v>
      </c>
      <c r="N270" s="289">
        <f t="shared" si="27"/>
        <v>0.03326322115</v>
      </c>
      <c r="O270" s="11">
        <f t="shared" si="28"/>
        <v>12.3</v>
      </c>
      <c r="P270" s="11">
        <f>(A270-B270)*(Equations!$H$69*$Q$240+C270)</f>
        <v>15.13846154</v>
      </c>
      <c r="Q270" s="11">
        <f>(A270-B270)*(Equations!$H$69*$R$240+C270)</f>
        <v>9.461538462</v>
      </c>
      <c r="R270" s="11"/>
      <c r="S270" s="11"/>
      <c r="T270" s="11"/>
      <c r="U270" s="11"/>
      <c r="V270" s="11"/>
      <c r="W270" s="11"/>
      <c r="X270" s="11"/>
      <c r="Y270" s="11"/>
      <c r="Z270" s="11"/>
      <c r="AA270" s="11"/>
      <c r="AB270" s="11"/>
      <c r="AC270" s="11"/>
    </row>
    <row r="271" ht="12.0" customHeight="1">
      <c r="A271" s="11">
        <f>VINMAX</f>
        <v>30</v>
      </c>
      <c r="B271" s="292">
        <f>VINMAX*((ROW()-248)/104)</f>
        <v>6.634615385</v>
      </c>
      <c r="C271" s="267">
        <f t="shared" si="21"/>
        <v>0.2</v>
      </c>
      <c r="D271" s="262">
        <f>B240</f>
        <v>70.4</v>
      </c>
      <c r="E271" s="252">
        <f t="shared" si="22"/>
        <v>3.013004115</v>
      </c>
      <c r="F271" s="267">
        <f>Equations!$H$69+C271</f>
        <v>0.52</v>
      </c>
      <c r="G271" s="267">
        <f t="shared" si="23"/>
        <v>0.52</v>
      </c>
      <c r="H271" s="267">
        <f t="shared" si="24"/>
        <v>0.32</v>
      </c>
      <c r="I271" s="266">
        <f>(COUTMAX/1000000)*(B271-B270)/H271</f>
        <v>0.002704326923</v>
      </c>
      <c r="J271" s="266">
        <f t="shared" si="29"/>
        <v>0.06219951923</v>
      </c>
      <c r="K271" s="291">
        <f t="shared" si="25"/>
        <v>62.19951923</v>
      </c>
      <c r="L271" s="268">
        <f t="shared" si="26"/>
        <v>0.6153846154</v>
      </c>
      <c r="M271" s="11">
        <f>1/COUTMAX*(E271/2-C271)*1000</f>
        <v>0.4355006859</v>
      </c>
      <c r="N271" s="289">
        <f t="shared" si="27"/>
        <v>0.03285757212</v>
      </c>
      <c r="O271" s="11">
        <f t="shared" si="28"/>
        <v>12.15</v>
      </c>
      <c r="P271" s="11">
        <f>(A271-B271)*(Equations!$H$69*$Q$240+C271)</f>
        <v>14.95384615</v>
      </c>
      <c r="Q271" s="11">
        <f>(A271-B271)*(Equations!$H$69*$R$240+C271)</f>
        <v>9.346153846</v>
      </c>
      <c r="R271" s="11"/>
      <c r="S271" s="11"/>
      <c r="T271" s="11"/>
      <c r="U271" s="11"/>
      <c r="V271" s="11"/>
      <c r="W271" s="11"/>
      <c r="X271" s="11"/>
      <c r="Y271" s="11"/>
      <c r="Z271" s="11"/>
      <c r="AA271" s="11"/>
      <c r="AB271" s="11"/>
      <c r="AC271" s="11"/>
    </row>
    <row r="272" ht="12.0" customHeight="1">
      <c r="A272" s="11">
        <f>VINMAX</f>
        <v>30</v>
      </c>
      <c r="B272" s="292">
        <f>VINMAX*((ROW()-248)/104)</f>
        <v>6.923076923</v>
      </c>
      <c r="C272" s="267">
        <f t="shared" si="21"/>
        <v>0.2</v>
      </c>
      <c r="D272" s="262">
        <f>B240</f>
        <v>70.4</v>
      </c>
      <c r="E272" s="252">
        <f t="shared" si="22"/>
        <v>3.050666667</v>
      </c>
      <c r="F272" s="267">
        <f>Equations!$H$69+C272</f>
        <v>0.52</v>
      </c>
      <c r="G272" s="267">
        <f t="shared" si="23"/>
        <v>0.52</v>
      </c>
      <c r="H272" s="267">
        <f t="shared" si="24"/>
        <v>0.32</v>
      </c>
      <c r="I272" s="266">
        <f>(COUTMAX/1000000)*(B272-B271)/H272</f>
        <v>0.002704326923</v>
      </c>
      <c r="J272" s="266">
        <f t="shared" si="29"/>
        <v>0.06490384615</v>
      </c>
      <c r="K272" s="291">
        <f t="shared" si="25"/>
        <v>64.90384615</v>
      </c>
      <c r="L272" s="268">
        <f t="shared" si="26"/>
        <v>0.6153846154</v>
      </c>
      <c r="M272" s="11">
        <f>1/COUTMAX*(E272/2-C272)*1000</f>
        <v>0.4417777778</v>
      </c>
      <c r="N272" s="289">
        <f t="shared" si="27"/>
        <v>0.03245192308</v>
      </c>
      <c r="O272" s="11">
        <f t="shared" si="28"/>
        <v>12</v>
      </c>
      <c r="P272" s="11">
        <f>(A272-B272)*(Equations!$H$69*$Q$240+C272)</f>
        <v>14.76923077</v>
      </c>
      <c r="Q272" s="11">
        <f>(A272-B272)*(Equations!$H$69*$R$240+C272)</f>
        <v>9.230769231</v>
      </c>
      <c r="R272" s="11"/>
      <c r="S272" s="11"/>
      <c r="T272" s="11"/>
      <c r="U272" s="11"/>
      <c r="V272" s="11"/>
      <c r="W272" s="11"/>
      <c r="X272" s="11"/>
      <c r="Y272" s="11"/>
      <c r="Z272" s="11"/>
      <c r="AA272" s="11"/>
      <c r="AB272" s="11"/>
      <c r="AC272" s="11"/>
    </row>
    <row r="273" ht="12.0" customHeight="1">
      <c r="A273" s="11">
        <f>VINMAX</f>
        <v>30</v>
      </c>
      <c r="B273" s="292">
        <f>VINMAX*((ROW()-248)/104)</f>
        <v>7.211538462</v>
      </c>
      <c r="C273" s="267">
        <f t="shared" si="21"/>
        <v>0.2</v>
      </c>
      <c r="D273" s="262">
        <f>B240</f>
        <v>70.4</v>
      </c>
      <c r="E273" s="252">
        <f t="shared" si="22"/>
        <v>3.0892827</v>
      </c>
      <c r="F273" s="267">
        <f>Equations!$H$69+C273</f>
        <v>0.52</v>
      </c>
      <c r="G273" s="267">
        <f t="shared" si="23"/>
        <v>0.52</v>
      </c>
      <c r="H273" s="267">
        <f t="shared" si="24"/>
        <v>0.32</v>
      </c>
      <c r="I273" s="266">
        <f>(COUTMAX/1000000)*(B273-B272)/H273</f>
        <v>0.002704326923</v>
      </c>
      <c r="J273" s="266">
        <f t="shared" si="29"/>
        <v>0.06760817308</v>
      </c>
      <c r="K273" s="291">
        <f t="shared" si="25"/>
        <v>67.60817308</v>
      </c>
      <c r="L273" s="268">
        <f t="shared" si="26"/>
        <v>0.6153846154</v>
      </c>
      <c r="M273" s="11">
        <f>1/COUTMAX*(E273/2-C273)*1000</f>
        <v>0.4482137834</v>
      </c>
      <c r="N273" s="289">
        <f t="shared" si="27"/>
        <v>0.03204627404</v>
      </c>
      <c r="O273" s="11">
        <f t="shared" si="28"/>
        <v>11.85</v>
      </c>
      <c r="P273" s="11">
        <f>(A273-B273)*(Equations!$H$69*$Q$240+C273)</f>
        <v>14.58461538</v>
      </c>
      <c r="Q273" s="11">
        <f>(A273-B273)*(Equations!$H$69*$R$240+C273)</f>
        <v>9.115384615</v>
      </c>
      <c r="R273" s="11"/>
      <c r="S273" s="11"/>
      <c r="T273" s="11"/>
      <c r="U273" s="11"/>
      <c r="V273" s="11"/>
      <c r="W273" s="11"/>
      <c r="X273" s="11"/>
      <c r="Y273" s="11"/>
      <c r="Z273" s="11"/>
      <c r="AA273" s="11"/>
      <c r="AB273" s="11"/>
      <c r="AC273" s="11"/>
    </row>
    <row r="274" ht="12.0" customHeight="1">
      <c r="A274" s="11">
        <f>VINMAX</f>
        <v>30</v>
      </c>
      <c r="B274" s="292">
        <f>VINMAX*((ROW()-248)/104)</f>
        <v>7.5</v>
      </c>
      <c r="C274" s="267">
        <f t="shared" si="21"/>
        <v>0.2</v>
      </c>
      <c r="D274" s="262">
        <f>B240</f>
        <v>70.4</v>
      </c>
      <c r="E274" s="252">
        <f t="shared" si="22"/>
        <v>3.128888889</v>
      </c>
      <c r="F274" s="267">
        <f>Equations!$H$69+C274</f>
        <v>0.52</v>
      </c>
      <c r="G274" s="267">
        <f t="shared" si="23"/>
        <v>0.52</v>
      </c>
      <c r="H274" s="267">
        <f t="shared" si="24"/>
        <v>0.32</v>
      </c>
      <c r="I274" s="266">
        <f>(COUTMAX/1000000)*(B274-B273)/H274</f>
        <v>0.002704326923</v>
      </c>
      <c r="J274" s="266">
        <f t="shared" si="29"/>
        <v>0.0703125</v>
      </c>
      <c r="K274" s="291">
        <f t="shared" si="25"/>
        <v>70.3125</v>
      </c>
      <c r="L274" s="268">
        <f t="shared" si="26"/>
        <v>0.6153846154</v>
      </c>
      <c r="M274" s="11">
        <f>1/COUTMAX*(E274/2-C274)*1000</f>
        <v>0.4548148148</v>
      </c>
      <c r="N274" s="289">
        <f t="shared" si="27"/>
        <v>0.031640625</v>
      </c>
      <c r="O274" s="11">
        <f t="shared" si="28"/>
        <v>11.7</v>
      </c>
      <c r="P274" s="11">
        <f>(A274-B274)*(Equations!$H$69*$Q$240+C274)</f>
        <v>14.4</v>
      </c>
      <c r="Q274" s="11">
        <f>(A274-B274)*(Equations!$H$69*$R$240+C274)</f>
        <v>9</v>
      </c>
      <c r="R274" s="11"/>
      <c r="S274" s="11"/>
      <c r="T274" s="11"/>
      <c r="U274" s="11"/>
      <c r="V274" s="11"/>
      <c r="W274" s="11"/>
      <c r="X274" s="11"/>
      <c r="Y274" s="11"/>
      <c r="Z274" s="11"/>
      <c r="AA274" s="11"/>
      <c r="AB274" s="11"/>
      <c r="AC274" s="11"/>
    </row>
    <row r="275" ht="12.0" customHeight="1">
      <c r="A275" s="11">
        <f>VINMAX</f>
        <v>30</v>
      </c>
      <c r="B275" s="292">
        <f>VINMAX*((ROW()-248)/104)</f>
        <v>7.788461538</v>
      </c>
      <c r="C275" s="267">
        <f t="shared" si="21"/>
        <v>0.2</v>
      </c>
      <c r="D275" s="262">
        <f>B240</f>
        <v>70.4</v>
      </c>
      <c r="E275" s="252">
        <f t="shared" si="22"/>
        <v>3.16952381</v>
      </c>
      <c r="F275" s="267">
        <f>Equations!$H$69+C275</f>
        <v>0.52</v>
      </c>
      <c r="G275" s="267">
        <f t="shared" si="23"/>
        <v>0.52</v>
      </c>
      <c r="H275" s="267">
        <f t="shared" si="24"/>
        <v>0.32</v>
      </c>
      <c r="I275" s="266">
        <f>(COUTMAX/1000000)*(B275-B274)/H275</f>
        <v>0.002704326923</v>
      </c>
      <c r="J275" s="266">
        <f t="shared" si="29"/>
        <v>0.07301682692</v>
      </c>
      <c r="K275" s="291">
        <f t="shared" si="25"/>
        <v>73.01682692</v>
      </c>
      <c r="L275" s="268">
        <f t="shared" si="26"/>
        <v>0.6153846154</v>
      </c>
      <c r="M275" s="11">
        <f>1/COUTMAX*(E275/2-C275)*1000</f>
        <v>0.4615873016</v>
      </c>
      <c r="N275" s="289">
        <f t="shared" si="27"/>
        <v>0.03123497596</v>
      </c>
      <c r="O275" s="11">
        <f t="shared" si="28"/>
        <v>11.55</v>
      </c>
      <c r="P275" s="11">
        <f>(A275-B275)*(Equations!$H$69*$Q$240+C275)</f>
        <v>14.21538462</v>
      </c>
      <c r="Q275" s="11">
        <f>(A275-B275)*(Equations!$H$69*$R$240+C275)</f>
        <v>8.884615385</v>
      </c>
      <c r="R275" s="11"/>
      <c r="S275" s="11"/>
      <c r="T275" s="11"/>
      <c r="U275" s="11"/>
      <c r="V275" s="11"/>
      <c r="W275" s="11"/>
      <c r="X275" s="11"/>
      <c r="Y275" s="11"/>
      <c r="Z275" s="11"/>
      <c r="AA275" s="11"/>
      <c r="AB275" s="11"/>
      <c r="AC275" s="11"/>
    </row>
    <row r="276" ht="12.0" customHeight="1">
      <c r="A276" s="11">
        <f>VINMAX</f>
        <v>30</v>
      </c>
      <c r="B276" s="292">
        <f>VINMAX*((ROW()-248)/104)</f>
        <v>8.076923077</v>
      </c>
      <c r="C276" s="267">
        <f t="shared" si="21"/>
        <v>0.2</v>
      </c>
      <c r="D276" s="262">
        <f>B240</f>
        <v>70.4</v>
      </c>
      <c r="E276" s="252">
        <f t="shared" si="22"/>
        <v>3.21122807</v>
      </c>
      <c r="F276" s="267">
        <f>Equations!$H$69+C276</f>
        <v>0.52</v>
      </c>
      <c r="G276" s="267">
        <f t="shared" si="23"/>
        <v>0.52</v>
      </c>
      <c r="H276" s="267">
        <f t="shared" si="24"/>
        <v>0.32</v>
      </c>
      <c r="I276" s="266">
        <f>(COUTMAX/1000000)*(B276-B275)/H276</f>
        <v>0.002704326923</v>
      </c>
      <c r="J276" s="266">
        <f t="shared" si="29"/>
        <v>0.07572115385</v>
      </c>
      <c r="K276" s="291">
        <f t="shared" si="25"/>
        <v>75.72115385</v>
      </c>
      <c r="L276" s="268">
        <f t="shared" si="26"/>
        <v>0.6153846154</v>
      </c>
      <c r="M276" s="11">
        <f>1/COUTMAX*(E276/2-C276)*1000</f>
        <v>0.4685380117</v>
      </c>
      <c r="N276" s="289">
        <f t="shared" si="27"/>
        <v>0.03082932692</v>
      </c>
      <c r="O276" s="11">
        <f t="shared" si="28"/>
        <v>11.4</v>
      </c>
      <c r="P276" s="11">
        <f>(A276-B276)*(Equations!$H$69*$Q$240+C276)</f>
        <v>14.03076923</v>
      </c>
      <c r="Q276" s="11">
        <f>(A276-B276)*(Equations!$H$69*$R$240+C276)</f>
        <v>8.769230769</v>
      </c>
      <c r="R276" s="11"/>
      <c r="S276" s="11"/>
      <c r="T276" s="11"/>
      <c r="U276" s="11"/>
      <c r="V276" s="11"/>
      <c r="W276" s="11"/>
      <c r="X276" s="11"/>
      <c r="Y276" s="11"/>
      <c r="Z276" s="11"/>
      <c r="AA276" s="11"/>
      <c r="AB276" s="11"/>
      <c r="AC276" s="11"/>
    </row>
    <row r="277" ht="12.0" customHeight="1">
      <c r="A277" s="11">
        <f>VINMAX</f>
        <v>30</v>
      </c>
      <c r="B277" s="292">
        <f>VINMAX*((ROW()-248)/104)</f>
        <v>8.365384615</v>
      </c>
      <c r="C277" s="267">
        <f t="shared" si="21"/>
        <v>0.2</v>
      </c>
      <c r="D277" s="262">
        <f>B240</f>
        <v>70.4</v>
      </c>
      <c r="E277" s="252">
        <f t="shared" si="22"/>
        <v>3.254044444</v>
      </c>
      <c r="F277" s="267">
        <f>Equations!$H$69+C277</f>
        <v>0.52</v>
      </c>
      <c r="G277" s="267">
        <f t="shared" si="23"/>
        <v>0.52</v>
      </c>
      <c r="H277" s="267">
        <f t="shared" si="24"/>
        <v>0.32</v>
      </c>
      <c r="I277" s="266">
        <f>(COUTMAX/1000000)*(B277-B276)/H277</f>
        <v>0.002704326923</v>
      </c>
      <c r="J277" s="266">
        <f t="shared" si="29"/>
        <v>0.07842548077</v>
      </c>
      <c r="K277" s="291">
        <f t="shared" si="25"/>
        <v>78.42548077</v>
      </c>
      <c r="L277" s="268">
        <f t="shared" si="26"/>
        <v>0.6153846154</v>
      </c>
      <c r="M277" s="11">
        <f>1/COUTMAX*(E277/2-C277)*1000</f>
        <v>0.4756740741</v>
      </c>
      <c r="N277" s="289">
        <f t="shared" si="27"/>
        <v>0.03042367788</v>
      </c>
      <c r="O277" s="11">
        <f t="shared" si="28"/>
        <v>11.25</v>
      </c>
      <c r="P277" s="11">
        <f>(A277-B277)*(Equations!$H$69*$Q$240+C277)</f>
        <v>13.84615385</v>
      </c>
      <c r="Q277" s="11">
        <f>(A277-B277)*(Equations!$H$69*$R$240+C277)</f>
        <v>8.653846154</v>
      </c>
      <c r="R277" s="11"/>
      <c r="S277" s="11"/>
      <c r="T277" s="11"/>
      <c r="U277" s="11"/>
      <c r="V277" s="11"/>
      <c r="W277" s="11"/>
      <c r="X277" s="11"/>
      <c r="Y277" s="11"/>
      <c r="Z277" s="11"/>
      <c r="AA277" s="11"/>
      <c r="AB277" s="11"/>
      <c r="AC277" s="11"/>
    </row>
    <row r="278" ht="12.0" customHeight="1">
      <c r="A278" s="11">
        <f>VINMAX</f>
        <v>30</v>
      </c>
      <c r="B278" s="292">
        <f>VINMAX*((ROW()-248)/104)</f>
        <v>8.653846154</v>
      </c>
      <c r="C278" s="267">
        <f t="shared" si="21"/>
        <v>0.2</v>
      </c>
      <c r="D278" s="262">
        <f>B240</f>
        <v>70.4</v>
      </c>
      <c r="E278" s="252">
        <f t="shared" si="22"/>
        <v>3.298018018</v>
      </c>
      <c r="F278" s="267">
        <f>Equations!$H$69+C278</f>
        <v>0.52</v>
      </c>
      <c r="G278" s="267">
        <f t="shared" si="23"/>
        <v>0.52</v>
      </c>
      <c r="H278" s="267">
        <f t="shared" si="24"/>
        <v>0.32</v>
      </c>
      <c r="I278" s="266">
        <f>(COUTMAX/1000000)*(B278-B277)/H278</f>
        <v>0.002704326923</v>
      </c>
      <c r="J278" s="266">
        <f t="shared" si="29"/>
        <v>0.08112980769</v>
      </c>
      <c r="K278" s="291">
        <f t="shared" si="25"/>
        <v>81.12980769</v>
      </c>
      <c r="L278" s="268">
        <f t="shared" si="26"/>
        <v>0.6153846154</v>
      </c>
      <c r="M278" s="11">
        <f>1/COUTMAX*(E278/2-C278)*1000</f>
        <v>0.483003003</v>
      </c>
      <c r="N278" s="289">
        <f t="shared" si="27"/>
        <v>0.03001802885</v>
      </c>
      <c r="O278" s="11">
        <f t="shared" si="28"/>
        <v>11.1</v>
      </c>
      <c r="P278" s="11">
        <f>(A278-B278)*(Equations!$H$69*$Q$240+C278)</f>
        <v>13.66153846</v>
      </c>
      <c r="Q278" s="11">
        <f>(A278-B278)*(Equations!$H$69*$R$240+C278)</f>
        <v>8.538461538</v>
      </c>
      <c r="R278" s="11"/>
      <c r="S278" s="11"/>
      <c r="T278" s="11"/>
      <c r="U278" s="11"/>
      <c r="V278" s="11"/>
      <c r="W278" s="11"/>
      <c r="X278" s="11"/>
      <c r="Y278" s="11"/>
      <c r="Z278" s="11"/>
      <c r="AA278" s="11"/>
      <c r="AB278" s="11"/>
      <c r="AC278" s="11"/>
    </row>
    <row r="279" ht="12.0" customHeight="1">
      <c r="A279" s="11">
        <f>VINMAX</f>
        <v>30</v>
      </c>
      <c r="B279" s="292">
        <f>VINMAX*((ROW()-248)/104)</f>
        <v>8.942307692</v>
      </c>
      <c r="C279" s="267">
        <f t="shared" si="21"/>
        <v>0.2</v>
      </c>
      <c r="D279" s="262">
        <f>B240</f>
        <v>70.4</v>
      </c>
      <c r="E279" s="252">
        <f t="shared" si="22"/>
        <v>3.343196347</v>
      </c>
      <c r="F279" s="267">
        <f>Equations!$H$69+C279</f>
        <v>0.52</v>
      </c>
      <c r="G279" s="267">
        <f t="shared" si="23"/>
        <v>0.52</v>
      </c>
      <c r="H279" s="267">
        <f t="shared" si="24"/>
        <v>0.32</v>
      </c>
      <c r="I279" s="266">
        <f>(COUTMAX/1000000)*(B279-B278)/H279</f>
        <v>0.002704326923</v>
      </c>
      <c r="J279" s="266">
        <f t="shared" si="29"/>
        <v>0.08383413462</v>
      </c>
      <c r="K279" s="291">
        <f t="shared" si="25"/>
        <v>83.83413462</v>
      </c>
      <c r="L279" s="268">
        <f t="shared" si="26"/>
        <v>0.6153846154</v>
      </c>
      <c r="M279" s="11">
        <f>1/COUTMAX*(E279/2-C279)*1000</f>
        <v>0.4905327245</v>
      </c>
      <c r="N279" s="289">
        <f t="shared" si="27"/>
        <v>0.02961237981</v>
      </c>
      <c r="O279" s="11">
        <f t="shared" si="28"/>
        <v>10.95</v>
      </c>
      <c r="P279" s="11">
        <f>(A279-B279)*(Equations!$H$69*$Q$240+C279)</f>
        <v>13.47692308</v>
      </c>
      <c r="Q279" s="11">
        <f>(A279-B279)*(Equations!$H$69*$R$240+C279)</f>
        <v>8.423076923</v>
      </c>
      <c r="R279" s="11"/>
      <c r="S279" s="11"/>
      <c r="T279" s="11"/>
      <c r="U279" s="11"/>
      <c r="V279" s="11"/>
      <c r="W279" s="11"/>
      <c r="X279" s="11"/>
      <c r="Y279" s="11"/>
      <c r="Z279" s="11"/>
      <c r="AA279" s="11"/>
      <c r="AB279" s="11"/>
      <c r="AC279" s="11"/>
    </row>
    <row r="280" ht="12.0" customHeight="1">
      <c r="A280" s="11">
        <f>VINMAX</f>
        <v>30</v>
      </c>
      <c r="B280" s="292">
        <f>VINMAX*((ROW()-248)/104)</f>
        <v>9.230769231</v>
      </c>
      <c r="C280" s="267">
        <f t="shared" si="21"/>
        <v>0.2</v>
      </c>
      <c r="D280" s="262">
        <f>B240</f>
        <v>70.4</v>
      </c>
      <c r="E280" s="252">
        <f t="shared" si="22"/>
        <v>3.38962963</v>
      </c>
      <c r="F280" s="267">
        <f>Equations!$H$69+C280</f>
        <v>0.52</v>
      </c>
      <c r="G280" s="267">
        <f t="shared" si="23"/>
        <v>0.52</v>
      </c>
      <c r="H280" s="267">
        <f t="shared" si="24"/>
        <v>0.32</v>
      </c>
      <c r="I280" s="266">
        <f>(COUTMAX/1000000)*(B280-B279)/H280</f>
        <v>0.002704326923</v>
      </c>
      <c r="J280" s="266">
        <f t="shared" si="29"/>
        <v>0.08653846154</v>
      </c>
      <c r="K280" s="291">
        <f t="shared" si="25"/>
        <v>86.53846154</v>
      </c>
      <c r="L280" s="268">
        <f t="shared" si="26"/>
        <v>0.6153846154</v>
      </c>
      <c r="M280" s="11">
        <f>1/COUTMAX*(E280/2-C280)*1000</f>
        <v>0.4982716049</v>
      </c>
      <c r="N280" s="289">
        <f t="shared" si="27"/>
        <v>0.02920673077</v>
      </c>
      <c r="O280" s="11">
        <f t="shared" si="28"/>
        <v>10.8</v>
      </c>
      <c r="P280" s="11">
        <f>(A280-B280)*(Equations!$H$69*$Q$240+C280)</f>
        <v>13.29230769</v>
      </c>
      <c r="Q280" s="11">
        <f>(A280-B280)*(Equations!$H$69*$R$240+C280)</f>
        <v>8.307692308</v>
      </c>
      <c r="R280" s="11"/>
      <c r="S280" s="11"/>
      <c r="T280" s="11"/>
      <c r="U280" s="11"/>
      <c r="V280" s="11"/>
      <c r="W280" s="11"/>
      <c r="X280" s="11"/>
      <c r="Y280" s="11"/>
      <c r="Z280" s="11"/>
      <c r="AA280" s="11"/>
      <c r="AB280" s="11"/>
      <c r="AC280" s="11"/>
    </row>
    <row r="281" ht="12.0" customHeight="1">
      <c r="A281" s="11">
        <f>VINMAX</f>
        <v>30</v>
      </c>
      <c r="B281" s="292">
        <f>VINMAX*((ROW()-248)/104)</f>
        <v>9.519230769</v>
      </c>
      <c r="C281" s="267">
        <f t="shared" si="21"/>
        <v>0.2</v>
      </c>
      <c r="D281" s="262">
        <f>B240</f>
        <v>70.4</v>
      </c>
      <c r="E281" s="252">
        <f t="shared" si="22"/>
        <v>3.437370892</v>
      </c>
      <c r="F281" s="267">
        <f>Equations!$H$69+C281</f>
        <v>0.52</v>
      </c>
      <c r="G281" s="267">
        <f t="shared" si="23"/>
        <v>0.52</v>
      </c>
      <c r="H281" s="267">
        <f t="shared" si="24"/>
        <v>0.32</v>
      </c>
      <c r="I281" s="266">
        <f>(COUTMAX/1000000)*(B281-B280)/H281</f>
        <v>0.002704326923</v>
      </c>
      <c r="J281" s="266">
        <f t="shared" si="29"/>
        <v>0.08924278846</v>
      </c>
      <c r="K281" s="291">
        <f t="shared" si="25"/>
        <v>89.24278846</v>
      </c>
      <c r="L281" s="268">
        <f t="shared" si="26"/>
        <v>0.6153846154</v>
      </c>
      <c r="M281" s="11">
        <f>1/COUTMAX*(E281/2-C281)*1000</f>
        <v>0.506228482</v>
      </c>
      <c r="N281" s="289">
        <f t="shared" si="27"/>
        <v>0.02880108173</v>
      </c>
      <c r="O281" s="11">
        <f t="shared" si="28"/>
        <v>10.65</v>
      </c>
      <c r="P281" s="11">
        <f>(A281-B281)*(Equations!$H$69*$Q$240+C281)</f>
        <v>13.10769231</v>
      </c>
      <c r="Q281" s="11">
        <f>(A281-B281)*(Equations!$H$69*$R$240+C281)</f>
        <v>8.192307692</v>
      </c>
      <c r="R281" s="11"/>
      <c r="S281" s="11"/>
      <c r="T281" s="11"/>
      <c r="U281" s="11"/>
      <c r="V281" s="11"/>
      <c r="W281" s="11"/>
      <c r="X281" s="11"/>
      <c r="Y281" s="11"/>
      <c r="Z281" s="11"/>
      <c r="AA281" s="11"/>
      <c r="AB281" s="11"/>
      <c r="AC281" s="11"/>
    </row>
    <row r="282" ht="12.0" customHeight="1">
      <c r="A282" s="11">
        <f>VINMAX</f>
        <v>30</v>
      </c>
      <c r="B282" s="292">
        <f>VINMAX*((ROW()-248)/104)</f>
        <v>9.807692308</v>
      </c>
      <c r="C282" s="267">
        <f t="shared" si="21"/>
        <v>0.2</v>
      </c>
      <c r="D282" s="262">
        <f>B240</f>
        <v>70.4</v>
      </c>
      <c r="E282" s="252">
        <f t="shared" si="22"/>
        <v>3.48647619</v>
      </c>
      <c r="F282" s="267">
        <f>Equations!$H$69+C282</f>
        <v>0.52</v>
      </c>
      <c r="G282" s="267">
        <f t="shared" si="23"/>
        <v>0.52</v>
      </c>
      <c r="H282" s="267">
        <f t="shared" si="24"/>
        <v>0.32</v>
      </c>
      <c r="I282" s="266">
        <f>(COUTMAX/1000000)*(B282-B281)/H282</f>
        <v>0.002704326923</v>
      </c>
      <c r="J282" s="266">
        <f t="shared" si="29"/>
        <v>0.09194711538</v>
      </c>
      <c r="K282" s="291">
        <f t="shared" si="25"/>
        <v>91.94711538</v>
      </c>
      <c r="L282" s="268">
        <f t="shared" si="26"/>
        <v>0.6153846154</v>
      </c>
      <c r="M282" s="11">
        <f>1/COUTMAX*(E282/2-C282)*1000</f>
        <v>0.5144126984</v>
      </c>
      <c r="N282" s="289">
        <f t="shared" si="27"/>
        <v>0.02839543269</v>
      </c>
      <c r="O282" s="11">
        <f t="shared" si="28"/>
        <v>10.5</v>
      </c>
      <c r="P282" s="11">
        <f>(A282-B282)*(Equations!$H$69*$Q$240+C282)</f>
        <v>12.92307692</v>
      </c>
      <c r="Q282" s="11">
        <f>(A282-B282)*(Equations!$H$69*$R$240+C282)</f>
        <v>8.076923077</v>
      </c>
      <c r="R282" s="11"/>
      <c r="S282" s="11"/>
      <c r="T282" s="11"/>
      <c r="U282" s="11"/>
      <c r="V282" s="11"/>
      <c r="W282" s="11"/>
      <c r="X282" s="11"/>
      <c r="Y282" s="11"/>
      <c r="Z282" s="11"/>
      <c r="AA282" s="11"/>
      <c r="AB282" s="11"/>
      <c r="AC282" s="11"/>
    </row>
    <row r="283" ht="12.0" customHeight="1">
      <c r="A283" s="11">
        <f>VINMAX</f>
        <v>30</v>
      </c>
      <c r="B283" s="292">
        <f>VINMAX*((ROW()-248)/104)</f>
        <v>10.09615385</v>
      </c>
      <c r="C283" s="267">
        <f t="shared" si="21"/>
        <v>0.2</v>
      </c>
      <c r="D283" s="262">
        <f>B240</f>
        <v>70.4</v>
      </c>
      <c r="E283" s="252">
        <f t="shared" si="22"/>
        <v>3.537004831</v>
      </c>
      <c r="F283" s="267">
        <f>Equations!$H$69+C283</f>
        <v>0.52</v>
      </c>
      <c r="G283" s="267">
        <f t="shared" si="23"/>
        <v>0.52</v>
      </c>
      <c r="H283" s="267">
        <f t="shared" si="24"/>
        <v>0.32</v>
      </c>
      <c r="I283" s="266">
        <f>(COUTMAX/1000000)*(B283-B282)/H283</f>
        <v>0.002704326923</v>
      </c>
      <c r="J283" s="266">
        <f t="shared" si="29"/>
        <v>0.09465144231</v>
      </c>
      <c r="K283" s="291">
        <f t="shared" si="25"/>
        <v>94.65144231</v>
      </c>
      <c r="L283" s="268">
        <f t="shared" si="26"/>
        <v>0.6153846154</v>
      </c>
      <c r="M283" s="11">
        <f>1/COUTMAX*(E283/2-C283)*1000</f>
        <v>0.5228341385</v>
      </c>
      <c r="N283" s="289">
        <f t="shared" si="27"/>
        <v>0.02798978365</v>
      </c>
      <c r="O283" s="11">
        <f t="shared" si="28"/>
        <v>10.35</v>
      </c>
      <c r="P283" s="11">
        <f>(A283-B283)*(Equations!$H$69*$Q$240+C283)</f>
        <v>12.73846154</v>
      </c>
      <c r="Q283" s="11">
        <f>(A283-B283)*(Equations!$H$69*$R$240+C283)</f>
        <v>7.961538462</v>
      </c>
      <c r="R283" s="11"/>
      <c r="S283" s="11"/>
      <c r="T283" s="11"/>
      <c r="U283" s="11"/>
      <c r="V283" s="11"/>
      <c r="W283" s="11"/>
      <c r="X283" s="11"/>
      <c r="Y283" s="11"/>
      <c r="Z283" s="11"/>
      <c r="AA283" s="11"/>
      <c r="AB283" s="11"/>
      <c r="AC283" s="11"/>
    </row>
    <row r="284" ht="12.0" customHeight="1">
      <c r="A284" s="11">
        <f>VINMAX</f>
        <v>30</v>
      </c>
      <c r="B284" s="292">
        <f>VINMAX*((ROW()-248)/104)</f>
        <v>10.38461538</v>
      </c>
      <c r="C284" s="267">
        <f t="shared" si="21"/>
        <v>0.2</v>
      </c>
      <c r="D284" s="262">
        <f>B240</f>
        <v>70.4</v>
      </c>
      <c r="E284" s="252">
        <f t="shared" si="22"/>
        <v>3.589019608</v>
      </c>
      <c r="F284" s="267">
        <f>Equations!$H$69+C284</f>
        <v>0.52</v>
      </c>
      <c r="G284" s="267">
        <f t="shared" si="23"/>
        <v>0.52</v>
      </c>
      <c r="H284" s="267">
        <f t="shared" si="24"/>
        <v>0.32</v>
      </c>
      <c r="I284" s="266">
        <f>(COUTMAX/1000000)*(B284-B283)/H284</f>
        <v>0.002704326923</v>
      </c>
      <c r="J284" s="266">
        <f t="shared" si="29"/>
        <v>0.09735576923</v>
      </c>
      <c r="K284" s="291">
        <f t="shared" si="25"/>
        <v>97.35576923</v>
      </c>
      <c r="L284" s="268">
        <f t="shared" si="26"/>
        <v>0.6153846154</v>
      </c>
      <c r="M284" s="11">
        <f>1/COUTMAX*(E284/2-C284)*1000</f>
        <v>0.531503268</v>
      </c>
      <c r="N284" s="289">
        <f t="shared" si="27"/>
        <v>0.02758413462</v>
      </c>
      <c r="O284" s="11">
        <f t="shared" si="28"/>
        <v>10.2</v>
      </c>
      <c r="P284" s="11">
        <f>(A284-B284)*(Equations!$H$69*$Q$240+C284)</f>
        <v>12.55384615</v>
      </c>
      <c r="Q284" s="11">
        <f>(A284-B284)*(Equations!$H$69*$R$240+C284)</f>
        <v>7.846153846</v>
      </c>
      <c r="R284" s="11"/>
      <c r="S284" s="11"/>
      <c r="T284" s="11"/>
      <c r="U284" s="11"/>
      <c r="V284" s="11"/>
      <c r="W284" s="11"/>
      <c r="X284" s="11"/>
      <c r="Y284" s="11"/>
      <c r="Z284" s="11"/>
      <c r="AA284" s="11"/>
      <c r="AB284" s="11"/>
      <c r="AC284" s="11"/>
    </row>
    <row r="285" ht="12.0" customHeight="1">
      <c r="A285" s="11">
        <f>VINMAX</f>
        <v>30</v>
      </c>
      <c r="B285" s="292">
        <f>VINMAX*((ROW()-248)/104)</f>
        <v>10.67307692</v>
      </c>
      <c r="C285" s="267">
        <f t="shared" si="21"/>
        <v>0.2</v>
      </c>
      <c r="D285" s="262">
        <f>B240</f>
        <v>70.4</v>
      </c>
      <c r="E285" s="252">
        <f t="shared" si="22"/>
        <v>3.642587065</v>
      </c>
      <c r="F285" s="267">
        <f>Equations!$H$69+C285</f>
        <v>0.52</v>
      </c>
      <c r="G285" s="267">
        <f t="shared" si="23"/>
        <v>0.52</v>
      </c>
      <c r="H285" s="267">
        <f t="shared" si="24"/>
        <v>0.32</v>
      </c>
      <c r="I285" s="266">
        <f>(COUTMAX/1000000)*(B285-B284)/H285</f>
        <v>0.002704326923</v>
      </c>
      <c r="J285" s="266">
        <f t="shared" si="29"/>
        <v>0.1000600962</v>
      </c>
      <c r="K285" s="291">
        <f t="shared" si="25"/>
        <v>100.0600962</v>
      </c>
      <c r="L285" s="268">
        <f t="shared" si="26"/>
        <v>0.6153846154</v>
      </c>
      <c r="M285" s="11">
        <f>1/COUTMAX*(E285/2-C285)*1000</f>
        <v>0.5404311774</v>
      </c>
      <c r="N285" s="289">
        <f t="shared" si="27"/>
        <v>0.02717848558</v>
      </c>
      <c r="O285" s="11">
        <f t="shared" si="28"/>
        <v>10.05</v>
      </c>
      <c r="P285" s="11">
        <f>(A285-B285)*(Equations!$H$69*$Q$240+C285)</f>
        <v>12.36923077</v>
      </c>
      <c r="Q285" s="11">
        <f>(A285-B285)*(Equations!$H$69*$R$240+C285)</f>
        <v>7.730769231</v>
      </c>
      <c r="R285" s="11"/>
      <c r="S285" s="11"/>
      <c r="T285" s="11"/>
      <c r="U285" s="11"/>
      <c r="V285" s="11"/>
      <c r="W285" s="11"/>
      <c r="X285" s="11"/>
      <c r="Y285" s="11"/>
      <c r="Z285" s="11"/>
      <c r="AA285" s="11"/>
      <c r="AB285" s="11"/>
      <c r="AC285" s="11"/>
    </row>
    <row r="286" ht="12.0" customHeight="1">
      <c r="A286" s="11">
        <f>VINMAX</f>
        <v>30</v>
      </c>
      <c r="B286" s="292">
        <f>VINMAX*((ROW()-248)/104)</f>
        <v>10.96153846</v>
      </c>
      <c r="C286" s="267">
        <f t="shared" si="21"/>
        <v>0.2</v>
      </c>
      <c r="D286" s="262">
        <f>B240</f>
        <v>70.4</v>
      </c>
      <c r="E286" s="252">
        <f t="shared" si="22"/>
        <v>3.697777778</v>
      </c>
      <c r="F286" s="267">
        <f>Equations!$H$69+C286</f>
        <v>0.52</v>
      </c>
      <c r="G286" s="267">
        <f t="shared" si="23"/>
        <v>0.52</v>
      </c>
      <c r="H286" s="267">
        <f t="shared" si="24"/>
        <v>0.32</v>
      </c>
      <c r="I286" s="266">
        <f>(COUTMAX/1000000)*(B286-B285)/H286</f>
        <v>0.002704326923</v>
      </c>
      <c r="J286" s="266">
        <f t="shared" si="29"/>
        <v>0.1027644231</v>
      </c>
      <c r="K286" s="291">
        <f t="shared" si="25"/>
        <v>102.7644231</v>
      </c>
      <c r="L286" s="268">
        <f t="shared" si="26"/>
        <v>0.6153846154</v>
      </c>
      <c r="M286" s="11">
        <f>1/COUTMAX*(E286/2-C286)*1000</f>
        <v>0.5496296296</v>
      </c>
      <c r="N286" s="289">
        <f t="shared" si="27"/>
        <v>0.02677283654</v>
      </c>
      <c r="O286" s="11">
        <f t="shared" si="28"/>
        <v>9.9</v>
      </c>
      <c r="P286" s="11">
        <f>(A286-B286)*(Equations!$H$69*$Q$240+C286)</f>
        <v>12.18461538</v>
      </c>
      <c r="Q286" s="11">
        <f>(A286-B286)*(Equations!$H$69*$R$240+C286)</f>
        <v>7.615384615</v>
      </c>
      <c r="R286" s="11"/>
      <c r="S286" s="11"/>
      <c r="T286" s="11"/>
      <c r="U286" s="11"/>
      <c r="V286" s="11"/>
      <c r="W286" s="11"/>
      <c r="X286" s="11"/>
      <c r="Y286" s="11"/>
      <c r="Z286" s="11"/>
      <c r="AA286" s="11"/>
      <c r="AB286" s="11"/>
      <c r="AC286" s="11"/>
    </row>
    <row r="287" ht="12.0" customHeight="1">
      <c r="A287" s="11">
        <f>VINMAX</f>
        <v>30</v>
      </c>
      <c r="B287" s="292">
        <f>VINMAX*((ROW()-248)/104)</f>
        <v>11.25</v>
      </c>
      <c r="C287" s="267">
        <f t="shared" si="21"/>
        <v>0.2</v>
      </c>
      <c r="D287" s="262">
        <f>B240</f>
        <v>70.4</v>
      </c>
      <c r="E287" s="252">
        <f t="shared" si="22"/>
        <v>3.754666667</v>
      </c>
      <c r="F287" s="267">
        <f>Equations!$H$69+C287</f>
        <v>0.52</v>
      </c>
      <c r="G287" s="267">
        <f t="shared" si="23"/>
        <v>0.52</v>
      </c>
      <c r="H287" s="267">
        <f t="shared" si="24"/>
        <v>0.32</v>
      </c>
      <c r="I287" s="266">
        <f>(COUTMAX/1000000)*(B287-B286)/H287</f>
        <v>0.002704326923</v>
      </c>
      <c r="J287" s="266">
        <f t="shared" si="29"/>
        <v>0.10546875</v>
      </c>
      <c r="K287" s="291">
        <f t="shared" si="25"/>
        <v>105.46875</v>
      </c>
      <c r="L287" s="268">
        <f t="shared" si="26"/>
        <v>0.6153846154</v>
      </c>
      <c r="M287" s="11">
        <f>1/COUTMAX*(E287/2-C287)*1000</f>
        <v>0.5591111111</v>
      </c>
      <c r="N287" s="289">
        <f t="shared" si="27"/>
        <v>0.0263671875</v>
      </c>
      <c r="O287" s="11">
        <f t="shared" si="28"/>
        <v>9.75</v>
      </c>
      <c r="P287" s="11">
        <f>(A287-B287)*(Equations!$H$69*$Q$240+C287)</f>
        <v>12</v>
      </c>
      <c r="Q287" s="11">
        <f>(A287-B287)*(Equations!$H$69*$R$240+C287)</f>
        <v>7.5</v>
      </c>
      <c r="R287" s="11"/>
      <c r="S287" s="11"/>
      <c r="T287" s="11"/>
      <c r="U287" s="11"/>
      <c r="V287" s="11"/>
      <c r="W287" s="11"/>
      <c r="X287" s="11"/>
      <c r="Y287" s="11"/>
      <c r="Z287" s="11"/>
      <c r="AA287" s="11"/>
      <c r="AB287" s="11"/>
      <c r="AC287" s="11"/>
    </row>
    <row r="288" ht="12.0" customHeight="1">
      <c r="A288" s="11">
        <f>VINMAX</f>
        <v>30</v>
      </c>
      <c r="B288" s="292">
        <f>VINMAX*((ROW()-248)/104)</f>
        <v>11.53846154</v>
      </c>
      <c r="C288" s="267">
        <f t="shared" si="21"/>
        <v>0.2</v>
      </c>
      <c r="D288" s="262">
        <f>B240</f>
        <v>70.4</v>
      </c>
      <c r="E288" s="252">
        <f t="shared" si="22"/>
        <v>3.813333333</v>
      </c>
      <c r="F288" s="267">
        <f>Equations!$H$69+C288</f>
        <v>0.52</v>
      </c>
      <c r="G288" s="267">
        <f t="shared" si="23"/>
        <v>0.52</v>
      </c>
      <c r="H288" s="267">
        <f t="shared" si="24"/>
        <v>0.32</v>
      </c>
      <c r="I288" s="266">
        <f>(COUTMAX/1000000)*(B288-B287)/H288</f>
        <v>0.002704326923</v>
      </c>
      <c r="J288" s="266">
        <f t="shared" si="29"/>
        <v>0.1081730769</v>
      </c>
      <c r="K288" s="291">
        <f t="shared" si="25"/>
        <v>108.1730769</v>
      </c>
      <c r="L288" s="268">
        <f t="shared" si="26"/>
        <v>0.6153846154</v>
      </c>
      <c r="M288" s="11">
        <f>1/COUTMAX*(E288/2-C288)*1000</f>
        <v>0.5688888889</v>
      </c>
      <c r="N288" s="289">
        <f t="shared" si="27"/>
        <v>0.02596153846</v>
      </c>
      <c r="O288" s="11">
        <f t="shared" si="28"/>
        <v>9.6</v>
      </c>
      <c r="P288" s="11">
        <f>(A288-B288)*(Equations!$H$69*$Q$240+C288)</f>
        <v>11.81538462</v>
      </c>
      <c r="Q288" s="11">
        <f>(A288-B288)*(Equations!$H$69*$R$240+C288)</f>
        <v>7.384615385</v>
      </c>
      <c r="R288" s="11"/>
      <c r="S288" s="11"/>
      <c r="T288" s="11"/>
      <c r="U288" s="11"/>
      <c r="V288" s="11"/>
      <c r="W288" s="11"/>
      <c r="X288" s="11"/>
      <c r="Y288" s="11"/>
      <c r="Z288" s="11"/>
      <c r="AA288" s="11"/>
      <c r="AB288" s="11"/>
      <c r="AC288" s="11"/>
    </row>
    <row r="289" ht="12.0" customHeight="1">
      <c r="A289" s="11">
        <f>VINMAX</f>
        <v>30</v>
      </c>
      <c r="B289" s="292">
        <f>VINMAX*((ROW()-248)/104)</f>
        <v>11.82692308</v>
      </c>
      <c r="C289" s="267">
        <f t="shared" si="21"/>
        <v>0.2</v>
      </c>
      <c r="D289" s="262">
        <f>B240</f>
        <v>70.4</v>
      </c>
      <c r="E289" s="252">
        <f t="shared" si="22"/>
        <v>3.873862434</v>
      </c>
      <c r="F289" s="267">
        <f>Equations!$H$69+C289</f>
        <v>0.52</v>
      </c>
      <c r="G289" s="267">
        <f t="shared" si="23"/>
        <v>0.52</v>
      </c>
      <c r="H289" s="267">
        <f t="shared" si="24"/>
        <v>0.32</v>
      </c>
      <c r="I289" s="266">
        <f>(COUTMAX/1000000)*(B289-B288)/H289</f>
        <v>0.002704326923</v>
      </c>
      <c r="J289" s="266">
        <f t="shared" si="29"/>
        <v>0.1108774038</v>
      </c>
      <c r="K289" s="291">
        <f t="shared" si="25"/>
        <v>110.8774038</v>
      </c>
      <c r="L289" s="268">
        <f t="shared" si="26"/>
        <v>0.6153846154</v>
      </c>
      <c r="M289" s="11">
        <f>1/COUTMAX*(E289/2-C289)*1000</f>
        <v>0.5789770723</v>
      </c>
      <c r="N289" s="289">
        <f t="shared" si="27"/>
        <v>0.02555588942</v>
      </c>
      <c r="O289" s="11">
        <f t="shared" si="28"/>
        <v>9.45</v>
      </c>
      <c r="P289" s="11">
        <f>(A289-B289)*(Equations!$H$69*$Q$240+C289)</f>
        <v>11.63076923</v>
      </c>
      <c r="Q289" s="11">
        <f>(A289-B289)*(Equations!$H$69*$R$240+C289)</f>
        <v>7.269230769</v>
      </c>
      <c r="R289" s="11"/>
      <c r="S289" s="11"/>
      <c r="T289" s="11"/>
      <c r="U289" s="11"/>
      <c r="V289" s="11"/>
      <c r="W289" s="11"/>
      <c r="X289" s="11"/>
      <c r="Y289" s="11"/>
      <c r="Z289" s="11"/>
      <c r="AA289" s="11"/>
      <c r="AB289" s="11"/>
      <c r="AC289" s="11"/>
    </row>
    <row r="290" ht="12.0" customHeight="1">
      <c r="A290" s="11">
        <f>VINMAX</f>
        <v>30</v>
      </c>
      <c r="B290" s="292">
        <f>VINMAX*((ROW()-248)/104)</f>
        <v>12.11538462</v>
      </c>
      <c r="C290" s="267">
        <f t="shared" si="21"/>
        <v>0.2</v>
      </c>
      <c r="D290" s="262">
        <f>B240</f>
        <v>70.4</v>
      </c>
      <c r="E290" s="252">
        <f t="shared" si="22"/>
        <v>3.936344086</v>
      </c>
      <c r="F290" s="267">
        <f>Equations!$H$69+C290</f>
        <v>0.52</v>
      </c>
      <c r="G290" s="267">
        <f t="shared" si="23"/>
        <v>0.52</v>
      </c>
      <c r="H290" s="267">
        <f t="shared" si="24"/>
        <v>0.32</v>
      </c>
      <c r="I290" s="266">
        <f>(COUTMAX/1000000)*(B290-B289)/H290</f>
        <v>0.002704326923</v>
      </c>
      <c r="J290" s="266">
        <f t="shared" si="29"/>
        <v>0.1135817308</v>
      </c>
      <c r="K290" s="291">
        <f t="shared" si="25"/>
        <v>113.5817308</v>
      </c>
      <c r="L290" s="268">
        <f t="shared" si="26"/>
        <v>0.6153846154</v>
      </c>
      <c r="M290" s="11">
        <f>1/COUTMAX*(E290/2-C290)*1000</f>
        <v>0.589390681</v>
      </c>
      <c r="N290" s="289">
        <f t="shared" si="27"/>
        <v>0.02515024038</v>
      </c>
      <c r="O290" s="11">
        <f t="shared" si="28"/>
        <v>9.3</v>
      </c>
      <c r="P290" s="11">
        <f>(A290-B290)*(Equations!$H$69*$Q$240+C290)</f>
        <v>11.44615385</v>
      </c>
      <c r="Q290" s="11">
        <f>(A290-B290)*(Equations!$H$69*$R$240+C290)</f>
        <v>7.153846154</v>
      </c>
      <c r="R290" s="11"/>
      <c r="S290" s="11"/>
      <c r="T290" s="11"/>
      <c r="U290" s="11"/>
      <c r="V290" s="11"/>
      <c r="W290" s="11"/>
      <c r="X290" s="11"/>
      <c r="Y290" s="11"/>
      <c r="Z290" s="11"/>
      <c r="AA290" s="11"/>
      <c r="AB290" s="11"/>
      <c r="AC290" s="11"/>
    </row>
    <row r="291" ht="12.0" customHeight="1">
      <c r="A291" s="11">
        <f>VINMAX</f>
        <v>30</v>
      </c>
      <c r="B291" s="292">
        <f>VINMAX*((ROW()-248)/104)</f>
        <v>12.40384615</v>
      </c>
      <c r="C291" s="267">
        <f t="shared" si="21"/>
        <v>0.2</v>
      </c>
      <c r="D291" s="262">
        <f>B240</f>
        <v>70.4</v>
      </c>
      <c r="E291" s="252">
        <f t="shared" si="22"/>
        <v>4.000874317</v>
      </c>
      <c r="F291" s="267">
        <f>Equations!$H$69+C291</f>
        <v>0.52</v>
      </c>
      <c r="G291" s="267">
        <f t="shared" si="23"/>
        <v>0.52</v>
      </c>
      <c r="H291" s="267">
        <f t="shared" si="24"/>
        <v>0.32</v>
      </c>
      <c r="I291" s="266">
        <f>(COUTMAX/1000000)*(B291-B290)/H291</f>
        <v>0.002704326923</v>
      </c>
      <c r="J291" s="266">
        <f t="shared" si="29"/>
        <v>0.1162860577</v>
      </c>
      <c r="K291" s="291">
        <f t="shared" si="25"/>
        <v>116.2860577</v>
      </c>
      <c r="L291" s="268">
        <f t="shared" si="26"/>
        <v>0.6153846154</v>
      </c>
      <c r="M291" s="11">
        <f>1/COUTMAX*(E291/2-C291)*1000</f>
        <v>0.6001457195</v>
      </c>
      <c r="N291" s="289">
        <f t="shared" si="27"/>
        <v>0.02474459135</v>
      </c>
      <c r="O291" s="11">
        <f t="shared" si="28"/>
        <v>9.15</v>
      </c>
      <c r="P291" s="11">
        <f>(A291-B291)*(Equations!$H$69*$Q$240+C291)</f>
        <v>11.26153846</v>
      </c>
      <c r="Q291" s="11">
        <f>(A291-B291)*(Equations!$H$69*$R$240+C291)</f>
        <v>7.038461538</v>
      </c>
      <c r="R291" s="11"/>
      <c r="S291" s="11"/>
      <c r="T291" s="11"/>
      <c r="U291" s="11"/>
      <c r="V291" s="11"/>
      <c r="W291" s="11"/>
      <c r="X291" s="11"/>
      <c r="Y291" s="11"/>
      <c r="Z291" s="11"/>
      <c r="AA291" s="11"/>
      <c r="AB291" s="11"/>
      <c r="AC291" s="11"/>
    </row>
    <row r="292" ht="12.0" customHeight="1">
      <c r="A292" s="11">
        <f>VINMAX</f>
        <v>30</v>
      </c>
      <c r="B292" s="292">
        <f>VINMAX*((ROW()-248)/104)</f>
        <v>12.69230769</v>
      </c>
      <c r="C292" s="267">
        <f t="shared" si="21"/>
        <v>0.2</v>
      </c>
      <c r="D292" s="262">
        <f>B240</f>
        <v>70.4</v>
      </c>
      <c r="E292" s="252">
        <f t="shared" si="22"/>
        <v>4.067555556</v>
      </c>
      <c r="F292" s="267">
        <f>Equations!$H$69+C292</f>
        <v>0.52</v>
      </c>
      <c r="G292" s="267">
        <f t="shared" si="23"/>
        <v>0.52</v>
      </c>
      <c r="H292" s="267">
        <f t="shared" si="24"/>
        <v>0.32</v>
      </c>
      <c r="I292" s="266">
        <f>(COUTMAX/1000000)*(B292-B291)/H292</f>
        <v>0.002704326923</v>
      </c>
      <c r="J292" s="266">
        <f t="shared" si="29"/>
        <v>0.1189903846</v>
      </c>
      <c r="K292" s="291">
        <f t="shared" si="25"/>
        <v>118.9903846</v>
      </c>
      <c r="L292" s="268">
        <f t="shared" si="26"/>
        <v>0.6153846154</v>
      </c>
      <c r="M292" s="11">
        <f>1/COUTMAX*(E292/2-C292)*1000</f>
        <v>0.6112592593</v>
      </c>
      <c r="N292" s="289">
        <f t="shared" si="27"/>
        <v>0.02433894231</v>
      </c>
      <c r="O292" s="11">
        <f t="shared" si="28"/>
        <v>9</v>
      </c>
      <c r="P292" s="11">
        <f>(A292-B292)*(Equations!$H$69*$Q$240+C292)</f>
        <v>11.07692308</v>
      </c>
      <c r="Q292" s="11">
        <f>(A292-B292)*(Equations!$H$69*$R$240+C292)</f>
        <v>6.923076923</v>
      </c>
      <c r="R292" s="11"/>
      <c r="S292" s="11"/>
      <c r="T292" s="11"/>
      <c r="U292" s="11"/>
      <c r="V292" s="11"/>
      <c r="W292" s="11"/>
      <c r="X292" s="11"/>
      <c r="Y292" s="11"/>
      <c r="Z292" s="11"/>
      <c r="AA292" s="11"/>
      <c r="AB292" s="11"/>
      <c r="AC292" s="11"/>
    </row>
    <row r="293" ht="12.0" customHeight="1">
      <c r="A293" s="11">
        <f>VINMAX</f>
        <v>30</v>
      </c>
      <c r="B293" s="292">
        <f>VINMAX*((ROW()-248)/104)</f>
        <v>12.98076923</v>
      </c>
      <c r="C293" s="267">
        <f t="shared" si="21"/>
        <v>0.2</v>
      </c>
      <c r="D293" s="262">
        <f>B240</f>
        <v>70.4</v>
      </c>
      <c r="E293" s="252">
        <f t="shared" si="22"/>
        <v>4.136497175</v>
      </c>
      <c r="F293" s="267">
        <f>Equations!$H$69+C293</f>
        <v>0.52</v>
      </c>
      <c r="G293" s="267">
        <f t="shared" si="23"/>
        <v>0.52</v>
      </c>
      <c r="H293" s="267">
        <f t="shared" si="24"/>
        <v>0.32</v>
      </c>
      <c r="I293" s="266">
        <f>(COUTMAX/1000000)*(B293-B292)/H293</f>
        <v>0.002704326923</v>
      </c>
      <c r="J293" s="266">
        <f t="shared" si="29"/>
        <v>0.1216947115</v>
      </c>
      <c r="K293" s="291">
        <f t="shared" si="25"/>
        <v>121.6947115</v>
      </c>
      <c r="L293" s="268">
        <f t="shared" si="26"/>
        <v>0.6153846154</v>
      </c>
      <c r="M293" s="11">
        <f>1/COUTMAX*(E293/2-C293)*1000</f>
        <v>0.6227495292</v>
      </c>
      <c r="N293" s="289">
        <f t="shared" si="27"/>
        <v>0.02393329327</v>
      </c>
      <c r="O293" s="11">
        <f t="shared" si="28"/>
        <v>8.85</v>
      </c>
      <c r="P293" s="11">
        <f>(A293-B293)*(Equations!$H$69*$Q$240+C293)</f>
        <v>10.89230769</v>
      </c>
      <c r="Q293" s="11">
        <f>(A293-B293)*(Equations!$H$69*$R$240+C293)</f>
        <v>6.807692308</v>
      </c>
      <c r="R293" s="11"/>
      <c r="S293" s="11"/>
      <c r="T293" s="11"/>
      <c r="U293" s="11"/>
      <c r="V293" s="11"/>
      <c r="W293" s="11"/>
      <c r="X293" s="11"/>
      <c r="Y293" s="11"/>
      <c r="Z293" s="11"/>
      <c r="AA293" s="11"/>
      <c r="AB293" s="11"/>
      <c r="AC293" s="11"/>
    </row>
    <row r="294" ht="12.0" customHeight="1">
      <c r="A294" s="11">
        <f>VINMAX</f>
        <v>30</v>
      </c>
      <c r="B294" s="292">
        <f>VINMAX*((ROW()-248)/104)</f>
        <v>13.26923077</v>
      </c>
      <c r="C294" s="267">
        <f t="shared" si="21"/>
        <v>0.2</v>
      </c>
      <c r="D294" s="262">
        <f>B240</f>
        <v>70.4</v>
      </c>
      <c r="E294" s="252">
        <f t="shared" si="22"/>
        <v>4.207816092</v>
      </c>
      <c r="F294" s="267">
        <f>Equations!$H$69+C294</f>
        <v>0.52</v>
      </c>
      <c r="G294" s="267">
        <f t="shared" si="23"/>
        <v>0.52</v>
      </c>
      <c r="H294" s="267">
        <f t="shared" si="24"/>
        <v>0.32</v>
      </c>
      <c r="I294" s="266">
        <f>(COUTMAX/1000000)*(B294-B293)/H294</f>
        <v>0.002704326923</v>
      </c>
      <c r="J294" s="266">
        <f t="shared" si="29"/>
        <v>0.1243990385</v>
      </c>
      <c r="K294" s="291">
        <f t="shared" si="25"/>
        <v>124.3990385</v>
      </c>
      <c r="L294" s="268">
        <f t="shared" si="26"/>
        <v>0.6153846154</v>
      </c>
      <c r="M294" s="11">
        <f>1/COUTMAX*(E294/2-C294)*1000</f>
        <v>0.6346360153</v>
      </c>
      <c r="N294" s="289">
        <f t="shared" si="27"/>
        <v>0.02352764423</v>
      </c>
      <c r="O294" s="11">
        <f t="shared" si="28"/>
        <v>8.7</v>
      </c>
      <c r="P294" s="11">
        <f>(A294-B294)*(Equations!$H$69*$Q$240+C294)</f>
        <v>10.70769231</v>
      </c>
      <c r="Q294" s="11">
        <f>(A294-B294)*(Equations!$H$69*$R$240+C294)</f>
        <v>6.692307692</v>
      </c>
      <c r="R294" s="11"/>
      <c r="S294" s="11"/>
      <c r="T294" s="11"/>
      <c r="U294" s="11"/>
      <c r="V294" s="11"/>
      <c r="W294" s="11"/>
      <c r="X294" s="11"/>
      <c r="Y294" s="11"/>
      <c r="Z294" s="11"/>
      <c r="AA294" s="11"/>
      <c r="AB294" s="11"/>
      <c r="AC294" s="11"/>
    </row>
    <row r="295" ht="12.0" customHeight="1">
      <c r="A295" s="11">
        <f>VINMAX</f>
        <v>30</v>
      </c>
      <c r="B295" s="292">
        <f>VINMAX*((ROW()-248)/104)</f>
        <v>13.55769231</v>
      </c>
      <c r="C295" s="267">
        <f t="shared" si="21"/>
        <v>0.2</v>
      </c>
      <c r="D295" s="262">
        <f>B240</f>
        <v>70.4</v>
      </c>
      <c r="E295" s="252">
        <f t="shared" si="22"/>
        <v>4.281637427</v>
      </c>
      <c r="F295" s="267">
        <f>Equations!$H$69+C295</f>
        <v>0.52</v>
      </c>
      <c r="G295" s="267">
        <f t="shared" si="23"/>
        <v>0.52</v>
      </c>
      <c r="H295" s="267">
        <f t="shared" si="24"/>
        <v>0.32</v>
      </c>
      <c r="I295" s="266">
        <f>(COUTMAX/1000000)*(B295-B294)/H295</f>
        <v>0.002704326923</v>
      </c>
      <c r="J295" s="266">
        <f t="shared" si="29"/>
        <v>0.1271033654</v>
      </c>
      <c r="K295" s="291">
        <f t="shared" si="25"/>
        <v>127.1033654</v>
      </c>
      <c r="L295" s="268">
        <f t="shared" si="26"/>
        <v>0.6153846154</v>
      </c>
      <c r="M295" s="11">
        <f>1/COUTMAX*(E295/2-C295)*1000</f>
        <v>0.6469395712</v>
      </c>
      <c r="N295" s="289">
        <f t="shared" si="27"/>
        <v>0.02312199519</v>
      </c>
      <c r="O295" s="11">
        <f t="shared" si="28"/>
        <v>8.55</v>
      </c>
      <c r="P295" s="11">
        <f>(A295-B295)*(Equations!$H$69*$Q$240+C295)</f>
        <v>10.52307692</v>
      </c>
      <c r="Q295" s="11">
        <f>(A295-B295)*(Equations!$H$69*$R$240+C295)</f>
        <v>6.576923077</v>
      </c>
      <c r="R295" s="11"/>
      <c r="S295" s="11"/>
      <c r="T295" s="11"/>
      <c r="U295" s="11"/>
      <c r="V295" s="11"/>
      <c r="W295" s="11"/>
      <c r="X295" s="11"/>
      <c r="Y295" s="11"/>
      <c r="Z295" s="11"/>
      <c r="AA295" s="11"/>
      <c r="AB295" s="11"/>
      <c r="AC295" s="11"/>
    </row>
    <row r="296" ht="12.0" customHeight="1">
      <c r="A296" s="11">
        <f>VINMAX</f>
        <v>30</v>
      </c>
      <c r="B296" s="292">
        <f>VINMAX*((ROW()-248)/104)</f>
        <v>13.84615385</v>
      </c>
      <c r="C296" s="267">
        <f t="shared" si="21"/>
        <v>0.2</v>
      </c>
      <c r="D296" s="262">
        <f>B240</f>
        <v>70.4</v>
      </c>
      <c r="E296" s="252">
        <f t="shared" si="22"/>
        <v>4.358095238</v>
      </c>
      <c r="F296" s="267">
        <f>Equations!$H$69+C296</f>
        <v>0.52</v>
      </c>
      <c r="G296" s="267">
        <f t="shared" si="23"/>
        <v>0.52</v>
      </c>
      <c r="H296" s="267">
        <f t="shared" si="24"/>
        <v>0.32</v>
      </c>
      <c r="I296" s="266">
        <f>(COUTMAX/1000000)*(B296-B295)/H296</f>
        <v>0.002704326923</v>
      </c>
      <c r="J296" s="266">
        <f t="shared" si="29"/>
        <v>0.1298076923</v>
      </c>
      <c r="K296" s="291">
        <f t="shared" si="25"/>
        <v>129.8076923</v>
      </c>
      <c r="L296" s="268">
        <f t="shared" si="26"/>
        <v>0.6153846154</v>
      </c>
      <c r="M296" s="11">
        <f>1/COUTMAX*(E296/2-C296)*1000</f>
        <v>0.6596825397</v>
      </c>
      <c r="N296" s="289">
        <f t="shared" si="27"/>
        <v>0.02271634615</v>
      </c>
      <c r="O296" s="11">
        <f t="shared" si="28"/>
        <v>8.4</v>
      </c>
      <c r="P296" s="11">
        <f>(A296-B296)*(Equations!$H$69*$Q$240+C296)</f>
        <v>10.33846154</v>
      </c>
      <c r="Q296" s="11">
        <f>(A296-B296)*(Equations!$H$69*$R$240+C296)</f>
        <v>6.461538462</v>
      </c>
      <c r="R296" s="11"/>
      <c r="S296" s="11"/>
      <c r="T296" s="11"/>
      <c r="U296" s="11"/>
      <c r="V296" s="11"/>
      <c r="W296" s="11"/>
      <c r="X296" s="11"/>
      <c r="Y296" s="11"/>
      <c r="Z296" s="11"/>
      <c r="AA296" s="11"/>
      <c r="AB296" s="11"/>
      <c r="AC296" s="11"/>
    </row>
    <row r="297" ht="12.0" customHeight="1">
      <c r="A297" s="11">
        <f>VINMAX</f>
        <v>30</v>
      </c>
      <c r="B297" s="292">
        <f>VINMAX*((ROW()-248)/104)</f>
        <v>14.13461538</v>
      </c>
      <c r="C297" s="267">
        <f t="shared" si="21"/>
        <v>0.2</v>
      </c>
      <c r="D297" s="262">
        <f>B240</f>
        <v>70.4</v>
      </c>
      <c r="E297" s="252">
        <f t="shared" si="22"/>
        <v>4.437333333</v>
      </c>
      <c r="F297" s="267">
        <f>Equations!$H$69+C297</f>
        <v>0.52</v>
      </c>
      <c r="G297" s="267">
        <f t="shared" si="23"/>
        <v>0.52</v>
      </c>
      <c r="H297" s="267">
        <f t="shared" si="24"/>
        <v>0.32</v>
      </c>
      <c r="I297" s="266">
        <f>(COUTMAX/1000000)*(B297-B296)/H297</f>
        <v>0.002704326923</v>
      </c>
      <c r="J297" s="266">
        <f t="shared" si="29"/>
        <v>0.1325120192</v>
      </c>
      <c r="K297" s="291">
        <f t="shared" si="25"/>
        <v>132.5120192</v>
      </c>
      <c r="L297" s="268">
        <f t="shared" si="26"/>
        <v>0.6153846154</v>
      </c>
      <c r="M297" s="11">
        <f>1/COUTMAX*(E297/2-C297)*1000</f>
        <v>0.6728888889</v>
      </c>
      <c r="N297" s="289">
        <f t="shared" si="27"/>
        <v>0.02231069712</v>
      </c>
      <c r="O297" s="11">
        <f t="shared" si="28"/>
        <v>8.25</v>
      </c>
      <c r="P297" s="11">
        <f>(A297-B297)*(Equations!$H$69*$Q$240+C297)</f>
        <v>10.15384615</v>
      </c>
      <c r="Q297" s="11">
        <f>(A297-B297)*(Equations!$H$69*$R$240+C297)</f>
        <v>6.346153846</v>
      </c>
      <c r="R297" s="11"/>
      <c r="S297" s="11"/>
      <c r="T297" s="11"/>
      <c r="U297" s="11"/>
      <c r="V297" s="11"/>
      <c r="W297" s="11"/>
      <c r="X297" s="11"/>
      <c r="Y297" s="11"/>
      <c r="Z297" s="11"/>
      <c r="AA297" s="11"/>
      <c r="AB297" s="11"/>
      <c r="AC297" s="11"/>
    </row>
    <row r="298" ht="12.0" customHeight="1">
      <c r="A298" s="11">
        <f>VINMAX</f>
        <v>30</v>
      </c>
      <c r="B298" s="292">
        <f>VINMAX*((ROW()-248)/104)</f>
        <v>14.42307692</v>
      </c>
      <c r="C298" s="267">
        <f t="shared" si="21"/>
        <v>0.2</v>
      </c>
      <c r="D298" s="262">
        <f>B240</f>
        <v>70.4</v>
      </c>
      <c r="E298" s="252">
        <f t="shared" si="22"/>
        <v>4.519506173</v>
      </c>
      <c r="F298" s="267">
        <f>Equations!$H$69+C298</f>
        <v>0.52</v>
      </c>
      <c r="G298" s="267">
        <f t="shared" si="23"/>
        <v>0.52</v>
      </c>
      <c r="H298" s="267">
        <f t="shared" si="24"/>
        <v>0.32</v>
      </c>
      <c r="I298" s="266">
        <f>(COUTMAX/1000000)*(B298-B297)/H298</f>
        <v>0.002704326923</v>
      </c>
      <c r="J298" s="266">
        <f t="shared" si="29"/>
        <v>0.1352163462</v>
      </c>
      <c r="K298" s="291">
        <f t="shared" si="25"/>
        <v>135.2163462</v>
      </c>
      <c r="L298" s="268">
        <f t="shared" si="26"/>
        <v>0.6153846154</v>
      </c>
      <c r="M298" s="11">
        <f>1/COUTMAX*(E298/2-C298)*1000</f>
        <v>0.6865843621</v>
      </c>
      <c r="N298" s="289">
        <f t="shared" si="27"/>
        <v>0.02190504808</v>
      </c>
      <c r="O298" s="11">
        <f t="shared" si="28"/>
        <v>8.1</v>
      </c>
      <c r="P298" s="11">
        <f>(A298-B298)*(Equations!$H$69*$Q$240+C298)</f>
        <v>9.969230769</v>
      </c>
      <c r="Q298" s="11">
        <f>(A298-B298)*(Equations!$H$69*$R$240+C298)</f>
        <v>6.230769231</v>
      </c>
      <c r="R298" s="11"/>
      <c r="S298" s="11"/>
      <c r="T298" s="11"/>
      <c r="U298" s="11"/>
      <c r="V298" s="11"/>
      <c r="W298" s="11"/>
      <c r="X298" s="11"/>
      <c r="Y298" s="11"/>
      <c r="Z298" s="11"/>
      <c r="AA298" s="11"/>
      <c r="AB298" s="11"/>
      <c r="AC298" s="11"/>
    </row>
    <row r="299" ht="12.0" customHeight="1">
      <c r="A299" s="11">
        <f>VINMAX</f>
        <v>30</v>
      </c>
      <c r="B299" s="292">
        <f>VINMAX*((ROW()-248)/104)</f>
        <v>14.71153846</v>
      </c>
      <c r="C299" s="267">
        <f t="shared" si="21"/>
        <v>0.2</v>
      </c>
      <c r="D299" s="262">
        <f>B240</f>
        <v>70.4</v>
      </c>
      <c r="E299" s="252">
        <f t="shared" si="22"/>
        <v>4.604779874</v>
      </c>
      <c r="F299" s="267">
        <f>Equations!$H$69+C299</f>
        <v>0.52</v>
      </c>
      <c r="G299" s="267">
        <f t="shared" si="23"/>
        <v>0.52</v>
      </c>
      <c r="H299" s="267">
        <f t="shared" si="24"/>
        <v>0.32</v>
      </c>
      <c r="I299" s="266">
        <f>(COUTMAX/1000000)*(B299-B298)/H299</f>
        <v>0.002704326923</v>
      </c>
      <c r="J299" s="266">
        <f t="shared" si="29"/>
        <v>0.1379206731</v>
      </c>
      <c r="K299" s="291">
        <f t="shared" si="25"/>
        <v>137.9206731</v>
      </c>
      <c r="L299" s="268">
        <f t="shared" si="26"/>
        <v>0.6153846154</v>
      </c>
      <c r="M299" s="11">
        <f>1/COUTMAX*(E299/2-C299)*1000</f>
        <v>0.7007966457</v>
      </c>
      <c r="N299" s="289">
        <f t="shared" si="27"/>
        <v>0.02149939904</v>
      </c>
      <c r="O299" s="11">
        <f t="shared" si="28"/>
        <v>7.95</v>
      </c>
      <c r="P299" s="11">
        <f>(A299-B299)*(Equations!$H$69*$Q$240+C299)</f>
        <v>9.784615385</v>
      </c>
      <c r="Q299" s="11">
        <f>(A299-B299)*(Equations!$H$69*$R$240+C299)</f>
        <v>6.115384615</v>
      </c>
      <c r="R299" s="11"/>
      <c r="S299" s="11"/>
      <c r="T299" s="11"/>
      <c r="U299" s="11"/>
      <c r="V299" s="11"/>
      <c r="W299" s="11"/>
      <c r="X299" s="11"/>
      <c r="Y299" s="11"/>
      <c r="Z299" s="11"/>
      <c r="AA299" s="11"/>
      <c r="AB299" s="11"/>
      <c r="AC299" s="11"/>
    </row>
    <row r="300" ht="12.0" customHeight="1">
      <c r="A300" s="11">
        <f>VINMAX</f>
        <v>30</v>
      </c>
      <c r="B300" s="292">
        <f>VINMAX*((ROW()-248)/104)</f>
        <v>15</v>
      </c>
      <c r="C300" s="267">
        <f t="shared" si="21"/>
        <v>0.2</v>
      </c>
      <c r="D300" s="262">
        <f>B240</f>
        <v>70.4</v>
      </c>
      <c r="E300" s="252">
        <f t="shared" si="22"/>
        <v>4.693333333</v>
      </c>
      <c r="F300" s="267">
        <f>Equations!$H$69+C300</f>
        <v>0.52</v>
      </c>
      <c r="G300" s="267">
        <f t="shared" si="23"/>
        <v>0.52</v>
      </c>
      <c r="H300" s="267">
        <f t="shared" si="24"/>
        <v>0.32</v>
      </c>
      <c r="I300" s="266">
        <f>(COUTMAX/1000000)*(B300-B299)/H300</f>
        <v>0.002704326923</v>
      </c>
      <c r="J300" s="266">
        <f t="shared" si="29"/>
        <v>0.140625</v>
      </c>
      <c r="K300" s="291">
        <f t="shared" si="25"/>
        <v>140.625</v>
      </c>
      <c r="L300" s="268">
        <f t="shared" si="26"/>
        <v>0.6153846154</v>
      </c>
      <c r="M300" s="11">
        <f>1/COUTMAX*(E300/2-C300)*1000</f>
        <v>0.7155555556</v>
      </c>
      <c r="N300" s="289">
        <f t="shared" si="27"/>
        <v>0.02109375</v>
      </c>
      <c r="O300" s="11">
        <f t="shared" si="28"/>
        <v>7.8</v>
      </c>
      <c r="P300" s="11">
        <f>(A300-B300)*(Equations!$H$69*$Q$240+C300)</f>
        <v>9.6</v>
      </c>
      <c r="Q300" s="11">
        <f>(A300-B300)*(Equations!$H$69*$R$240+C300)</f>
        <v>6</v>
      </c>
      <c r="R300" s="11"/>
      <c r="S300" s="11"/>
      <c r="T300" s="11"/>
      <c r="U300" s="11"/>
      <c r="V300" s="11"/>
      <c r="W300" s="11"/>
      <c r="X300" s="11"/>
      <c r="Y300" s="11"/>
      <c r="Z300" s="11"/>
      <c r="AA300" s="11"/>
      <c r="AB300" s="11"/>
      <c r="AC300" s="11"/>
    </row>
    <row r="301" ht="12.0" customHeight="1">
      <c r="A301" s="11">
        <f>VINMAX</f>
        <v>30</v>
      </c>
      <c r="B301" s="292">
        <f>VINMAX*((ROW()-248)/104)</f>
        <v>15.28846154</v>
      </c>
      <c r="C301" s="267">
        <f t="shared" si="21"/>
        <v>0.2</v>
      </c>
      <c r="D301" s="262">
        <f>B240</f>
        <v>70.4</v>
      </c>
      <c r="E301" s="252">
        <f t="shared" si="22"/>
        <v>4.785359477</v>
      </c>
      <c r="F301" s="267">
        <f>Equations!$H$69+C301</f>
        <v>0.52</v>
      </c>
      <c r="G301" s="267">
        <f t="shared" si="23"/>
        <v>0.52</v>
      </c>
      <c r="H301" s="267">
        <f t="shared" si="24"/>
        <v>0.32</v>
      </c>
      <c r="I301" s="266">
        <f>(COUTMAX/1000000)*(B301-B300)/H301</f>
        <v>0.002704326923</v>
      </c>
      <c r="J301" s="266">
        <f t="shared" si="29"/>
        <v>0.1433293269</v>
      </c>
      <c r="K301" s="291">
        <f t="shared" si="25"/>
        <v>143.3293269</v>
      </c>
      <c r="L301" s="268">
        <f t="shared" si="26"/>
        <v>0.6153846154</v>
      </c>
      <c r="M301" s="11">
        <f>1/COUTMAX*(E301/2-C301)*1000</f>
        <v>0.7308932462</v>
      </c>
      <c r="N301" s="289">
        <f t="shared" si="27"/>
        <v>0.02068810096</v>
      </c>
      <c r="O301" s="11">
        <f t="shared" si="28"/>
        <v>7.65</v>
      </c>
      <c r="P301" s="11">
        <f>(A301-B301)*(Equations!$H$69*$Q$240+C301)</f>
        <v>9.415384615</v>
      </c>
      <c r="Q301" s="11">
        <f>(A301-B301)*(Equations!$H$69*$R$240+C301)</f>
        <v>5.884615385</v>
      </c>
      <c r="R301" s="11"/>
      <c r="S301" s="11"/>
      <c r="T301" s="11"/>
      <c r="U301" s="11"/>
      <c r="V301" s="11"/>
      <c r="W301" s="11"/>
      <c r="X301" s="11"/>
      <c r="Y301" s="11"/>
      <c r="Z301" s="11"/>
      <c r="AA301" s="11"/>
      <c r="AB301" s="11"/>
      <c r="AC301" s="11"/>
    </row>
    <row r="302" ht="12.0" customHeight="1">
      <c r="A302" s="11">
        <f>VINMAX</f>
        <v>30</v>
      </c>
      <c r="B302" s="292">
        <f>VINMAX*((ROW()-248)/104)</f>
        <v>15.57692308</v>
      </c>
      <c r="C302" s="267">
        <f t="shared" si="21"/>
        <v>0.2</v>
      </c>
      <c r="D302" s="262">
        <f>B240</f>
        <v>70.4</v>
      </c>
      <c r="E302" s="252">
        <f t="shared" si="22"/>
        <v>4.881066667</v>
      </c>
      <c r="F302" s="267">
        <f>Equations!$H$69+C302</f>
        <v>0.52</v>
      </c>
      <c r="G302" s="267">
        <f t="shared" si="23"/>
        <v>0.52</v>
      </c>
      <c r="H302" s="267">
        <f t="shared" si="24"/>
        <v>0.32</v>
      </c>
      <c r="I302" s="266">
        <f>(COUTMAX/1000000)*(B302-B301)/H302</f>
        <v>0.002704326923</v>
      </c>
      <c r="J302" s="266">
        <f t="shared" si="29"/>
        <v>0.1460336538</v>
      </c>
      <c r="K302" s="291">
        <f t="shared" si="25"/>
        <v>146.0336538</v>
      </c>
      <c r="L302" s="268">
        <f t="shared" si="26"/>
        <v>0.6153846154</v>
      </c>
      <c r="M302" s="11">
        <f>1/COUTMAX*(E302/2-C302)*1000</f>
        <v>0.7468444444</v>
      </c>
      <c r="N302" s="289">
        <f t="shared" si="27"/>
        <v>0.02028245192</v>
      </c>
      <c r="O302" s="11">
        <f t="shared" si="28"/>
        <v>7.5</v>
      </c>
      <c r="P302" s="11">
        <f>(A302-B302)*(Equations!$H$69*$Q$240+C302)</f>
        <v>9.230769231</v>
      </c>
      <c r="Q302" s="11">
        <f>(A302-B302)*(Equations!$H$69*$R$240+C302)</f>
        <v>5.769230769</v>
      </c>
      <c r="R302" s="11"/>
      <c r="S302" s="11"/>
      <c r="T302" s="11"/>
      <c r="U302" s="11"/>
      <c r="V302" s="11"/>
      <c r="W302" s="11"/>
      <c r="X302" s="11"/>
      <c r="Y302" s="11"/>
      <c r="Z302" s="11"/>
      <c r="AA302" s="11"/>
      <c r="AB302" s="11"/>
      <c r="AC302" s="11"/>
    </row>
    <row r="303" ht="12.0" customHeight="1">
      <c r="A303" s="11">
        <f>VINMAX</f>
        <v>30</v>
      </c>
      <c r="B303" s="292">
        <f>VINMAX*((ROW()-248)/104)</f>
        <v>15.86538462</v>
      </c>
      <c r="C303" s="267">
        <f t="shared" si="21"/>
        <v>0.2</v>
      </c>
      <c r="D303" s="262">
        <f>B240</f>
        <v>70.4</v>
      </c>
      <c r="E303" s="252">
        <f t="shared" si="22"/>
        <v>4.980680272</v>
      </c>
      <c r="F303" s="267">
        <f>Equations!$H$69+C303</f>
        <v>0.52</v>
      </c>
      <c r="G303" s="267">
        <f t="shared" si="23"/>
        <v>0.52</v>
      </c>
      <c r="H303" s="267">
        <f t="shared" si="24"/>
        <v>0.32</v>
      </c>
      <c r="I303" s="266">
        <f>(COUTMAX/1000000)*(B303-B302)/H303</f>
        <v>0.002704326923</v>
      </c>
      <c r="J303" s="266">
        <f t="shared" si="29"/>
        <v>0.1487379808</v>
      </c>
      <c r="K303" s="291">
        <f t="shared" si="25"/>
        <v>148.7379808</v>
      </c>
      <c r="L303" s="268">
        <f t="shared" si="26"/>
        <v>0.6153846154</v>
      </c>
      <c r="M303" s="11">
        <f>1/COUTMAX*(E303/2-C303)*1000</f>
        <v>0.763446712</v>
      </c>
      <c r="N303" s="289">
        <f t="shared" si="27"/>
        <v>0.01987680288</v>
      </c>
      <c r="O303" s="11">
        <f t="shared" si="28"/>
        <v>7.35</v>
      </c>
      <c r="P303" s="11">
        <f>(A303-B303)*(Equations!$H$69*$Q$240+C303)</f>
        <v>9.046153846</v>
      </c>
      <c r="Q303" s="11">
        <f>(A303-B303)*(Equations!$H$69*$R$240+C303)</f>
        <v>5.653846154</v>
      </c>
      <c r="R303" s="11"/>
      <c r="S303" s="11"/>
      <c r="T303" s="11"/>
      <c r="U303" s="11"/>
      <c r="V303" s="11"/>
      <c r="W303" s="11"/>
      <c r="X303" s="11"/>
      <c r="Y303" s="11"/>
      <c r="Z303" s="11"/>
      <c r="AA303" s="11"/>
      <c r="AB303" s="11"/>
      <c r="AC303" s="11"/>
    </row>
    <row r="304" ht="12.0" customHeight="1">
      <c r="A304" s="11">
        <f>VINMAX</f>
        <v>30</v>
      </c>
      <c r="B304" s="292">
        <f>VINMAX*((ROW()-248)/104)</f>
        <v>16.15384615</v>
      </c>
      <c r="C304" s="267">
        <f t="shared" si="21"/>
        <v>0.2</v>
      </c>
      <c r="D304" s="262">
        <f>B240</f>
        <v>70.4</v>
      </c>
      <c r="E304" s="252">
        <f t="shared" si="22"/>
        <v>5.084444444</v>
      </c>
      <c r="F304" s="267">
        <f>Equations!$H$69+C304</f>
        <v>0.52</v>
      </c>
      <c r="G304" s="267">
        <f t="shared" si="23"/>
        <v>0.52</v>
      </c>
      <c r="H304" s="267">
        <f t="shared" si="24"/>
        <v>0.32</v>
      </c>
      <c r="I304" s="266">
        <f>(COUTMAX/1000000)*(B304-B303)/H304</f>
        <v>0.002704326923</v>
      </c>
      <c r="J304" s="266">
        <f t="shared" si="29"/>
        <v>0.1514423077</v>
      </c>
      <c r="K304" s="291">
        <f t="shared" si="25"/>
        <v>151.4423077</v>
      </c>
      <c r="L304" s="268">
        <f t="shared" si="26"/>
        <v>0.6153846154</v>
      </c>
      <c r="M304" s="11">
        <f>1/COUTMAX*(E304/2-C304)*1000</f>
        <v>0.7807407407</v>
      </c>
      <c r="N304" s="289">
        <f t="shared" si="27"/>
        <v>0.01947115385</v>
      </c>
      <c r="O304" s="11">
        <f t="shared" si="28"/>
        <v>7.2</v>
      </c>
      <c r="P304" s="11">
        <f>(A304-B304)*(Equations!$H$69*$Q$240+C304)</f>
        <v>8.861538462</v>
      </c>
      <c r="Q304" s="11">
        <f>(A304-B304)*(Equations!$H$69*$R$240+C304)</f>
        <v>5.538461538</v>
      </c>
      <c r="R304" s="11"/>
      <c r="S304" s="11"/>
      <c r="T304" s="11"/>
      <c r="U304" s="11"/>
      <c r="V304" s="11"/>
      <c r="W304" s="11"/>
      <c r="X304" s="11"/>
      <c r="Y304" s="11"/>
      <c r="Z304" s="11"/>
      <c r="AA304" s="11"/>
      <c r="AB304" s="11"/>
      <c r="AC304" s="11"/>
    </row>
    <row r="305" ht="12.0" customHeight="1">
      <c r="A305" s="11">
        <f>VINMAX</f>
        <v>30</v>
      </c>
      <c r="B305" s="292">
        <f>VINMAX*((ROW()-248)/104)</f>
        <v>16.44230769</v>
      </c>
      <c r="C305" s="267">
        <f t="shared" si="21"/>
        <v>0.2</v>
      </c>
      <c r="D305" s="262">
        <f>B240</f>
        <v>70.4</v>
      </c>
      <c r="E305" s="252">
        <f t="shared" si="22"/>
        <v>5.192624113</v>
      </c>
      <c r="F305" s="267">
        <f>Equations!$H$69+C305</f>
        <v>0.52</v>
      </c>
      <c r="G305" s="267">
        <f t="shared" si="23"/>
        <v>0.52</v>
      </c>
      <c r="H305" s="267">
        <f t="shared" si="24"/>
        <v>0.32</v>
      </c>
      <c r="I305" s="266">
        <f>(COUTMAX/1000000)*(B305-B304)/H305</f>
        <v>0.002704326923</v>
      </c>
      <c r="J305" s="266">
        <f t="shared" si="29"/>
        <v>0.1541466346</v>
      </c>
      <c r="K305" s="291">
        <f t="shared" si="25"/>
        <v>154.1466346</v>
      </c>
      <c r="L305" s="268">
        <f t="shared" si="26"/>
        <v>0.6153846154</v>
      </c>
      <c r="M305" s="11">
        <f>1/COUTMAX*(E305/2-C305)*1000</f>
        <v>0.7987706856</v>
      </c>
      <c r="N305" s="289">
        <f t="shared" si="27"/>
        <v>0.01906550481</v>
      </c>
      <c r="O305" s="11">
        <f t="shared" si="28"/>
        <v>7.05</v>
      </c>
      <c r="P305" s="11">
        <f>(A305-B305)*(Equations!$H$69*$Q$240+C305)</f>
        <v>8.676923077</v>
      </c>
      <c r="Q305" s="11">
        <f>(A305-B305)*(Equations!$H$69*$R$240+C305)</f>
        <v>5.423076923</v>
      </c>
      <c r="R305" s="11"/>
      <c r="S305" s="11"/>
      <c r="T305" s="11"/>
      <c r="U305" s="11"/>
      <c r="V305" s="11"/>
      <c r="W305" s="11"/>
      <c r="X305" s="11"/>
      <c r="Y305" s="11"/>
      <c r="Z305" s="11"/>
      <c r="AA305" s="11"/>
      <c r="AB305" s="11"/>
      <c r="AC305" s="11"/>
    </row>
    <row r="306" ht="12.0" customHeight="1">
      <c r="A306" s="11">
        <f>VINMAX</f>
        <v>30</v>
      </c>
      <c r="B306" s="292">
        <f>VINMAX*((ROW()-248)/104)</f>
        <v>16.73076923</v>
      </c>
      <c r="C306" s="267">
        <f t="shared" si="21"/>
        <v>0.2</v>
      </c>
      <c r="D306" s="262">
        <f>B240</f>
        <v>70.4</v>
      </c>
      <c r="E306" s="252">
        <f t="shared" si="22"/>
        <v>5.305507246</v>
      </c>
      <c r="F306" s="267">
        <f>Equations!$H$69+C306</f>
        <v>0.52</v>
      </c>
      <c r="G306" s="267">
        <f t="shared" si="23"/>
        <v>0.52</v>
      </c>
      <c r="H306" s="267">
        <f t="shared" si="24"/>
        <v>0.32</v>
      </c>
      <c r="I306" s="266">
        <f>(COUTMAX/1000000)*(B306-B305)/H306</f>
        <v>0.002704326923</v>
      </c>
      <c r="J306" s="266">
        <f t="shared" si="29"/>
        <v>0.1568509615</v>
      </c>
      <c r="K306" s="291">
        <f t="shared" si="25"/>
        <v>156.8509615</v>
      </c>
      <c r="L306" s="268">
        <f t="shared" si="26"/>
        <v>0.6153846154</v>
      </c>
      <c r="M306" s="11">
        <f>1/COUTMAX*(E306/2-C306)*1000</f>
        <v>0.8175845411</v>
      </c>
      <c r="N306" s="289">
        <f t="shared" si="27"/>
        <v>0.01865985577</v>
      </c>
      <c r="O306" s="11">
        <f t="shared" si="28"/>
        <v>6.9</v>
      </c>
      <c r="P306" s="11">
        <f>(A306-B306)*(Equations!$H$69*$Q$240+C306)</f>
        <v>8.492307692</v>
      </c>
      <c r="Q306" s="11">
        <f>(A306-B306)*(Equations!$H$69*$R$240+C306)</f>
        <v>5.307692308</v>
      </c>
      <c r="R306" s="11"/>
      <c r="S306" s="11"/>
      <c r="T306" s="11"/>
      <c r="U306" s="11"/>
      <c r="V306" s="11"/>
      <c r="W306" s="11"/>
      <c r="X306" s="11"/>
      <c r="Y306" s="11"/>
      <c r="Z306" s="11"/>
      <c r="AA306" s="11"/>
      <c r="AB306" s="11"/>
      <c r="AC306" s="11"/>
    </row>
    <row r="307" ht="12.0" customHeight="1">
      <c r="A307" s="11">
        <f>VINMAX</f>
        <v>30</v>
      </c>
      <c r="B307" s="292">
        <f>VINMAX*((ROW()-248)/104)</f>
        <v>17.01923077</v>
      </c>
      <c r="C307" s="267">
        <f t="shared" si="21"/>
        <v>0.2</v>
      </c>
      <c r="D307" s="262">
        <f>B240</f>
        <v>70.4</v>
      </c>
      <c r="E307" s="252">
        <f t="shared" si="22"/>
        <v>5.423407407</v>
      </c>
      <c r="F307" s="267">
        <f>Equations!$H$69+C307</f>
        <v>0.52</v>
      </c>
      <c r="G307" s="267">
        <f t="shared" si="23"/>
        <v>0.52</v>
      </c>
      <c r="H307" s="267">
        <f t="shared" si="24"/>
        <v>0.32</v>
      </c>
      <c r="I307" s="266">
        <f>(COUTMAX/1000000)*(B307-B306)/H307</f>
        <v>0.002704326923</v>
      </c>
      <c r="J307" s="266">
        <f t="shared" si="29"/>
        <v>0.1595552885</v>
      </c>
      <c r="K307" s="291">
        <f t="shared" si="25"/>
        <v>159.5552885</v>
      </c>
      <c r="L307" s="268">
        <f t="shared" si="26"/>
        <v>0.6153846154</v>
      </c>
      <c r="M307" s="11">
        <f>1/COUTMAX*(E307/2-C307)*1000</f>
        <v>0.8372345679</v>
      </c>
      <c r="N307" s="289">
        <f t="shared" si="27"/>
        <v>0.01825420673</v>
      </c>
      <c r="O307" s="11">
        <f t="shared" si="28"/>
        <v>6.75</v>
      </c>
      <c r="P307" s="11">
        <f>(A307-B307)*(Equations!$H$69*$Q$240+C307)</f>
        <v>8.307692308</v>
      </c>
      <c r="Q307" s="11">
        <f>(A307-B307)*(Equations!$H$69*$R$240+C307)</f>
        <v>5.192307692</v>
      </c>
      <c r="R307" s="11"/>
      <c r="S307" s="11"/>
      <c r="T307" s="11"/>
      <c r="U307" s="11"/>
      <c r="V307" s="11"/>
      <c r="W307" s="11"/>
      <c r="X307" s="11"/>
      <c r="Y307" s="11"/>
      <c r="Z307" s="11"/>
      <c r="AA307" s="11"/>
      <c r="AB307" s="11"/>
      <c r="AC307" s="11"/>
    </row>
    <row r="308" ht="12.0" customHeight="1">
      <c r="A308" s="11">
        <f>VINMAX</f>
        <v>30</v>
      </c>
      <c r="B308" s="292">
        <f>VINMAX*((ROW()-248)/104)</f>
        <v>17.30769231</v>
      </c>
      <c r="C308" s="267">
        <f t="shared" si="21"/>
        <v>0.2</v>
      </c>
      <c r="D308" s="262">
        <f>B240</f>
        <v>70.4</v>
      </c>
      <c r="E308" s="252">
        <f t="shared" si="22"/>
        <v>5.546666667</v>
      </c>
      <c r="F308" s="267">
        <f>Equations!$H$69+C308</f>
        <v>0.52</v>
      </c>
      <c r="G308" s="267">
        <f t="shared" si="23"/>
        <v>0.52</v>
      </c>
      <c r="H308" s="267">
        <f t="shared" si="24"/>
        <v>0.32</v>
      </c>
      <c r="I308" s="266">
        <f>(COUTMAX/1000000)*(B308-B307)/H308</f>
        <v>0.002704326923</v>
      </c>
      <c r="J308" s="266">
        <f t="shared" si="29"/>
        <v>0.1622596154</v>
      </c>
      <c r="K308" s="291">
        <f t="shared" si="25"/>
        <v>162.2596154</v>
      </c>
      <c r="L308" s="268">
        <f t="shared" si="26"/>
        <v>0.6153846154</v>
      </c>
      <c r="M308" s="11">
        <f>1/COUTMAX*(E308/2-C308)*1000</f>
        <v>0.8577777778</v>
      </c>
      <c r="N308" s="289">
        <f t="shared" si="27"/>
        <v>0.01784855769</v>
      </c>
      <c r="O308" s="11">
        <f t="shared" si="28"/>
        <v>6.6</v>
      </c>
      <c r="P308" s="11">
        <f>(A308-B308)*(Equations!$H$69*$Q$240+C308)</f>
        <v>8.123076923</v>
      </c>
      <c r="Q308" s="11">
        <f>(A308-B308)*(Equations!$H$69*$R$240+C308)</f>
        <v>5.076923077</v>
      </c>
      <c r="R308" s="11"/>
      <c r="S308" s="11"/>
      <c r="T308" s="11"/>
      <c r="U308" s="11"/>
      <c r="V308" s="11"/>
      <c r="W308" s="11"/>
      <c r="X308" s="11"/>
      <c r="Y308" s="11"/>
      <c r="Z308" s="11"/>
      <c r="AA308" s="11"/>
      <c r="AB308" s="11"/>
      <c r="AC308" s="11"/>
    </row>
    <row r="309" ht="12.0" customHeight="1">
      <c r="A309" s="11">
        <f>VINMAX</f>
        <v>30</v>
      </c>
      <c r="B309" s="292">
        <f>VINMAX*((ROW()-248)/104)</f>
        <v>17.59615385</v>
      </c>
      <c r="C309" s="267">
        <f t="shared" si="21"/>
        <v>0.2</v>
      </c>
      <c r="D309" s="262">
        <f>B240</f>
        <v>70.4</v>
      </c>
      <c r="E309" s="252">
        <f t="shared" si="22"/>
        <v>5.675658915</v>
      </c>
      <c r="F309" s="267">
        <f>Equations!$H$69+C309</f>
        <v>0.52</v>
      </c>
      <c r="G309" s="267">
        <f t="shared" si="23"/>
        <v>0.52</v>
      </c>
      <c r="H309" s="267">
        <f t="shared" si="24"/>
        <v>0.32</v>
      </c>
      <c r="I309" s="266">
        <f>(COUTMAX/1000000)*(B309-B308)/H309</f>
        <v>0.002704326923</v>
      </c>
      <c r="J309" s="266">
        <f t="shared" si="29"/>
        <v>0.1649639423</v>
      </c>
      <c r="K309" s="291">
        <f t="shared" si="25"/>
        <v>164.9639423</v>
      </c>
      <c r="L309" s="268">
        <f t="shared" si="26"/>
        <v>0.6153846154</v>
      </c>
      <c r="M309" s="11">
        <f>1/COUTMAX*(E309/2-C309)*1000</f>
        <v>0.8792764858</v>
      </c>
      <c r="N309" s="289">
        <f t="shared" si="27"/>
        <v>0.01744290865</v>
      </c>
      <c r="O309" s="11">
        <f t="shared" si="28"/>
        <v>6.45</v>
      </c>
      <c r="P309" s="11">
        <f>(A309-B309)*(Equations!$H$69*$Q$240+C309)</f>
        <v>7.938461538</v>
      </c>
      <c r="Q309" s="11">
        <f>(A309-B309)*(Equations!$H$69*$R$240+C309)</f>
        <v>4.961538462</v>
      </c>
      <c r="R309" s="11"/>
      <c r="S309" s="11"/>
      <c r="T309" s="11"/>
      <c r="U309" s="11"/>
      <c r="V309" s="11"/>
      <c r="W309" s="11"/>
      <c r="X309" s="11"/>
      <c r="Y309" s="11"/>
      <c r="Z309" s="11"/>
      <c r="AA309" s="11"/>
      <c r="AB309" s="11"/>
      <c r="AC309" s="11"/>
    </row>
    <row r="310" ht="12.0" customHeight="1">
      <c r="A310" s="11">
        <f>VINMAX</f>
        <v>30</v>
      </c>
      <c r="B310" s="292">
        <f>VINMAX*((ROW()-248)/104)</f>
        <v>17.88461538</v>
      </c>
      <c r="C310" s="267">
        <f t="shared" si="21"/>
        <v>0.2</v>
      </c>
      <c r="D310" s="262">
        <f>B240</f>
        <v>70.4</v>
      </c>
      <c r="E310" s="252">
        <f t="shared" si="22"/>
        <v>5.810793651</v>
      </c>
      <c r="F310" s="267">
        <f>Equations!$H$69+C310</f>
        <v>0.52</v>
      </c>
      <c r="G310" s="267">
        <f t="shared" si="23"/>
        <v>0.52</v>
      </c>
      <c r="H310" s="267">
        <f t="shared" si="24"/>
        <v>0.32</v>
      </c>
      <c r="I310" s="266">
        <f>(COUTMAX/1000000)*(B310-B309)/H310</f>
        <v>0.002704326923</v>
      </c>
      <c r="J310" s="266">
        <f t="shared" si="29"/>
        <v>0.1676682692</v>
      </c>
      <c r="K310" s="291">
        <f t="shared" si="25"/>
        <v>167.6682692</v>
      </c>
      <c r="L310" s="268">
        <f t="shared" si="26"/>
        <v>0.6153846154</v>
      </c>
      <c r="M310" s="11">
        <f>1/COUTMAX*(E310/2-C310)*1000</f>
        <v>0.9017989418</v>
      </c>
      <c r="N310" s="289">
        <f t="shared" si="27"/>
        <v>0.01703725962</v>
      </c>
      <c r="O310" s="11">
        <f t="shared" si="28"/>
        <v>6.3</v>
      </c>
      <c r="P310" s="11">
        <f>(A310-B310)*(Equations!$H$69*$Q$240+C310)</f>
        <v>7.753846154</v>
      </c>
      <c r="Q310" s="11">
        <f>(A310-B310)*(Equations!$H$69*$R$240+C310)</f>
        <v>4.846153846</v>
      </c>
      <c r="R310" s="11"/>
      <c r="S310" s="11"/>
      <c r="T310" s="11"/>
      <c r="U310" s="11"/>
      <c r="V310" s="11"/>
      <c r="W310" s="11"/>
      <c r="X310" s="11"/>
      <c r="Y310" s="11"/>
      <c r="Z310" s="11"/>
      <c r="AA310" s="11"/>
      <c r="AB310" s="11"/>
      <c r="AC310" s="11"/>
    </row>
    <row r="311" ht="12.0" customHeight="1">
      <c r="A311" s="11">
        <f>VINMAX</f>
        <v>30</v>
      </c>
      <c r="B311" s="292">
        <f>VINMAX*((ROW()-248)/104)</f>
        <v>18.17307692</v>
      </c>
      <c r="C311" s="267">
        <f t="shared" si="21"/>
        <v>0.2</v>
      </c>
      <c r="D311" s="262">
        <f>B240</f>
        <v>70.4</v>
      </c>
      <c r="E311" s="252">
        <f t="shared" si="22"/>
        <v>5.952520325</v>
      </c>
      <c r="F311" s="267">
        <f>Equations!$H$69+C311</f>
        <v>0.52</v>
      </c>
      <c r="G311" s="267">
        <f t="shared" si="23"/>
        <v>0.52</v>
      </c>
      <c r="H311" s="267">
        <f t="shared" si="24"/>
        <v>0.32</v>
      </c>
      <c r="I311" s="266">
        <f>(COUTMAX/1000000)*(B311-B310)/H311</f>
        <v>0.002704326923</v>
      </c>
      <c r="J311" s="266">
        <f t="shared" si="29"/>
        <v>0.1703725962</v>
      </c>
      <c r="K311" s="291">
        <f t="shared" si="25"/>
        <v>170.3725962</v>
      </c>
      <c r="L311" s="268">
        <f t="shared" si="26"/>
        <v>0.6153846154</v>
      </c>
      <c r="M311" s="11">
        <f>1/COUTMAX*(E311/2-C311)*1000</f>
        <v>0.9254200542</v>
      </c>
      <c r="N311" s="289">
        <f t="shared" si="27"/>
        <v>0.01663161058</v>
      </c>
      <c r="O311" s="11">
        <f t="shared" si="28"/>
        <v>6.15</v>
      </c>
      <c r="P311" s="11">
        <f>(A311-B311)*(Equations!$H$69*$Q$240+C311)</f>
        <v>7.569230769</v>
      </c>
      <c r="Q311" s="11">
        <f>(A311-B311)*(Equations!$H$69*$R$240+C311)</f>
        <v>4.730769231</v>
      </c>
      <c r="R311" s="11"/>
      <c r="S311" s="11"/>
      <c r="T311" s="11"/>
      <c r="U311" s="11"/>
      <c r="V311" s="11"/>
      <c r="W311" s="11"/>
      <c r="X311" s="11"/>
      <c r="Y311" s="11"/>
      <c r="Z311" s="11"/>
      <c r="AA311" s="11"/>
      <c r="AB311" s="11"/>
      <c r="AC311" s="11"/>
    </row>
    <row r="312" ht="12.0" customHeight="1">
      <c r="A312" s="11">
        <f>VINMAX</f>
        <v>30</v>
      </c>
      <c r="B312" s="292">
        <f>VINMAX*((ROW()-248)/104)</f>
        <v>18.46153846</v>
      </c>
      <c r="C312" s="267">
        <f t="shared" si="21"/>
        <v>0.2</v>
      </c>
      <c r="D312" s="262">
        <f>B240</f>
        <v>70.4</v>
      </c>
      <c r="E312" s="252">
        <f t="shared" si="22"/>
        <v>6.101333333</v>
      </c>
      <c r="F312" s="267">
        <f>Equations!$H$69+C312</f>
        <v>0.52</v>
      </c>
      <c r="G312" s="267">
        <f t="shared" si="23"/>
        <v>0.52</v>
      </c>
      <c r="H312" s="267">
        <f t="shared" si="24"/>
        <v>0.32</v>
      </c>
      <c r="I312" s="266">
        <f>(COUTMAX/1000000)*(B312-B311)/H312</f>
        <v>0.002704326923</v>
      </c>
      <c r="J312" s="266">
        <f t="shared" si="29"/>
        <v>0.1730769231</v>
      </c>
      <c r="K312" s="291">
        <f t="shared" si="25"/>
        <v>173.0769231</v>
      </c>
      <c r="L312" s="268">
        <f t="shared" si="26"/>
        <v>0.6153846154</v>
      </c>
      <c r="M312" s="11">
        <f>1/COUTMAX*(E312/2-C312)*1000</f>
        <v>0.9502222222</v>
      </c>
      <c r="N312" s="289">
        <f t="shared" si="27"/>
        <v>0.01622596154</v>
      </c>
      <c r="O312" s="11">
        <f t="shared" si="28"/>
        <v>6</v>
      </c>
      <c r="P312" s="11">
        <f>(A312-B312)*(Equations!$H$69*$Q$240+C312)</f>
        <v>7.384615385</v>
      </c>
      <c r="Q312" s="11">
        <f>(A312-B312)*(Equations!$H$69*$R$240+C312)</f>
        <v>4.615384615</v>
      </c>
      <c r="R312" s="11"/>
      <c r="S312" s="11"/>
      <c r="T312" s="11"/>
      <c r="U312" s="11"/>
      <c r="V312" s="11"/>
      <c r="W312" s="11"/>
      <c r="X312" s="11"/>
      <c r="Y312" s="11"/>
      <c r="Z312" s="11"/>
      <c r="AA312" s="11"/>
      <c r="AB312" s="11"/>
      <c r="AC312" s="11"/>
    </row>
    <row r="313" ht="12.0" customHeight="1">
      <c r="A313" s="11">
        <f>VINMAX</f>
        <v>30</v>
      </c>
      <c r="B313" s="292">
        <f>VINMAX*((ROW()-248)/104)</f>
        <v>18.75</v>
      </c>
      <c r="C313" s="267">
        <f t="shared" si="21"/>
        <v>0.2</v>
      </c>
      <c r="D313" s="262">
        <f>B240</f>
        <v>70.4</v>
      </c>
      <c r="E313" s="252">
        <f t="shared" si="22"/>
        <v>6.257777778</v>
      </c>
      <c r="F313" s="267">
        <f>Equations!$H$69+C313</f>
        <v>0.52</v>
      </c>
      <c r="G313" s="267">
        <f t="shared" si="23"/>
        <v>0.52</v>
      </c>
      <c r="H313" s="267">
        <f t="shared" si="24"/>
        <v>0.32</v>
      </c>
      <c r="I313" s="266">
        <f>(COUTMAX/1000000)*(B313-B312)/H313</f>
        <v>0.002704326923</v>
      </c>
      <c r="J313" s="266">
        <f t="shared" si="29"/>
        <v>0.17578125</v>
      </c>
      <c r="K313" s="291">
        <f t="shared" si="25"/>
        <v>175.78125</v>
      </c>
      <c r="L313" s="268">
        <f t="shared" si="26"/>
        <v>0.6153846154</v>
      </c>
      <c r="M313" s="11">
        <f>1/COUTMAX*(E313/2-C313)*1000</f>
        <v>0.9762962963</v>
      </c>
      <c r="N313" s="289">
        <f t="shared" si="27"/>
        <v>0.0158203125</v>
      </c>
      <c r="O313" s="11">
        <f t="shared" si="28"/>
        <v>5.85</v>
      </c>
      <c r="P313" s="11">
        <f>(A313-B313)*(Equations!$H$69*$Q$240+C313)</f>
        <v>7.2</v>
      </c>
      <c r="Q313" s="11">
        <f>(A313-B313)*(Equations!$H$69*$R$240+C313)</f>
        <v>4.5</v>
      </c>
      <c r="R313" s="11"/>
      <c r="S313" s="11"/>
      <c r="T313" s="11"/>
      <c r="U313" s="11"/>
      <c r="V313" s="11"/>
      <c r="W313" s="11"/>
      <c r="X313" s="11"/>
      <c r="Y313" s="11"/>
      <c r="Z313" s="11"/>
      <c r="AA313" s="11"/>
      <c r="AB313" s="11"/>
      <c r="AC313" s="11"/>
    </row>
    <row r="314" ht="12.0" customHeight="1">
      <c r="A314" s="11">
        <f>VINMAX</f>
        <v>30</v>
      </c>
      <c r="B314" s="292">
        <f>VINMAX*((ROW()-248)/104)</f>
        <v>19.03846154</v>
      </c>
      <c r="C314" s="267">
        <f t="shared" si="21"/>
        <v>0.2</v>
      </c>
      <c r="D314" s="262">
        <f>B240</f>
        <v>70.4</v>
      </c>
      <c r="E314" s="252">
        <f t="shared" si="22"/>
        <v>6.42245614</v>
      </c>
      <c r="F314" s="267">
        <f>Equations!$H$69+C314</f>
        <v>0.52</v>
      </c>
      <c r="G314" s="267">
        <f t="shared" si="23"/>
        <v>0.52</v>
      </c>
      <c r="H314" s="267">
        <f t="shared" si="24"/>
        <v>0.32</v>
      </c>
      <c r="I314" s="266">
        <f>(COUTMAX/1000000)*(B314-B313)/H314</f>
        <v>0.002704326923</v>
      </c>
      <c r="J314" s="266">
        <f t="shared" si="29"/>
        <v>0.1784855769</v>
      </c>
      <c r="K314" s="291">
        <f t="shared" si="25"/>
        <v>178.4855769</v>
      </c>
      <c r="L314" s="268">
        <f t="shared" si="26"/>
        <v>0.6153846154</v>
      </c>
      <c r="M314" s="11">
        <f>1/COUTMAX*(E314/2-C314)*1000</f>
        <v>1.00374269</v>
      </c>
      <c r="N314" s="289">
        <f t="shared" si="27"/>
        <v>0.01541466346</v>
      </c>
      <c r="O314" s="11">
        <f t="shared" si="28"/>
        <v>5.7</v>
      </c>
      <c r="P314" s="11">
        <f>(A314-B314)*(Equations!$H$69*$Q$240+C314)</f>
        <v>7.015384615</v>
      </c>
      <c r="Q314" s="11">
        <f>(A314-B314)*(Equations!$H$69*$R$240+C314)</f>
        <v>4.384615385</v>
      </c>
      <c r="R314" s="11"/>
      <c r="S314" s="11"/>
      <c r="T314" s="11"/>
      <c r="U314" s="11"/>
      <c r="V314" s="11"/>
      <c r="W314" s="11"/>
      <c r="X314" s="11"/>
      <c r="Y314" s="11"/>
      <c r="Z314" s="11"/>
      <c r="AA314" s="11"/>
      <c r="AB314" s="11"/>
      <c r="AC314" s="11"/>
    </row>
    <row r="315" ht="12.0" customHeight="1">
      <c r="A315" s="11">
        <f>VINMAX</f>
        <v>30</v>
      </c>
      <c r="B315" s="292">
        <f>VINMAX*((ROW()-248)/104)</f>
        <v>19.32692308</v>
      </c>
      <c r="C315" s="267">
        <f t="shared" si="21"/>
        <v>0.2</v>
      </c>
      <c r="D315" s="262">
        <f>B240</f>
        <v>70.4</v>
      </c>
      <c r="E315" s="252">
        <f t="shared" si="22"/>
        <v>6.596036036</v>
      </c>
      <c r="F315" s="267">
        <f>Equations!$H$69+C315</f>
        <v>0.52</v>
      </c>
      <c r="G315" s="267">
        <f t="shared" si="23"/>
        <v>0.52</v>
      </c>
      <c r="H315" s="267">
        <f t="shared" si="24"/>
        <v>0.32</v>
      </c>
      <c r="I315" s="266">
        <f>(COUTMAX/1000000)*(B315-B314)/H315</f>
        <v>0.002704326923</v>
      </c>
      <c r="J315" s="266">
        <f t="shared" si="29"/>
        <v>0.1811899038</v>
      </c>
      <c r="K315" s="291">
        <f t="shared" si="25"/>
        <v>181.1899038</v>
      </c>
      <c r="L315" s="268">
        <f t="shared" si="26"/>
        <v>0.6153846154</v>
      </c>
      <c r="M315" s="11">
        <f>1/COUTMAX*(E315/2-C315)*1000</f>
        <v>1.032672673</v>
      </c>
      <c r="N315" s="289">
        <f t="shared" si="27"/>
        <v>0.01500901442</v>
      </c>
      <c r="O315" s="11">
        <f t="shared" si="28"/>
        <v>5.55</v>
      </c>
      <c r="P315" s="11">
        <f>(A315-B315)*(Equations!$H$69*$Q$240+C315)</f>
        <v>6.830769231</v>
      </c>
      <c r="Q315" s="11">
        <f>(A315-B315)*(Equations!$H$69*$R$240+C315)</f>
        <v>4.269230769</v>
      </c>
      <c r="R315" s="11"/>
      <c r="S315" s="11"/>
      <c r="T315" s="11"/>
      <c r="U315" s="11"/>
      <c r="V315" s="11"/>
      <c r="W315" s="11"/>
      <c r="X315" s="11"/>
      <c r="Y315" s="11"/>
      <c r="Z315" s="11"/>
      <c r="AA315" s="11"/>
      <c r="AB315" s="11"/>
      <c r="AC315" s="11"/>
    </row>
    <row r="316" ht="12.0" customHeight="1">
      <c r="A316" s="11">
        <f>VINMAX</f>
        <v>30</v>
      </c>
      <c r="B316" s="292">
        <f>VINMAX*((ROW()-248)/104)</f>
        <v>19.61538462</v>
      </c>
      <c r="C316" s="267">
        <f t="shared" si="21"/>
        <v>0.2</v>
      </c>
      <c r="D316" s="262">
        <f>B240</f>
        <v>70.4</v>
      </c>
      <c r="E316" s="252">
        <f t="shared" si="22"/>
        <v>6.779259259</v>
      </c>
      <c r="F316" s="267">
        <f>Equations!$H$69+C316</f>
        <v>0.52</v>
      </c>
      <c r="G316" s="267">
        <f t="shared" si="23"/>
        <v>0.52</v>
      </c>
      <c r="H316" s="267">
        <f t="shared" si="24"/>
        <v>0.32</v>
      </c>
      <c r="I316" s="266">
        <f>(COUTMAX/1000000)*(B316-B315)/H316</f>
        <v>0.002704326923</v>
      </c>
      <c r="J316" s="266">
        <f t="shared" si="29"/>
        <v>0.1838942308</v>
      </c>
      <c r="K316" s="291">
        <f t="shared" si="25"/>
        <v>183.8942308</v>
      </c>
      <c r="L316" s="268">
        <f t="shared" si="26"/>
        <v>0.6153846154</v>
      </c>
      <c r="M316" s="11">
        <f>1/COUTMAX*(E316/2-C316)*1000</f>
        <v>1.063209877</v>
      </c>
      <c r="N316" s="289">
        <f t="shared" si="27"/>
        <v>0.01460336538</v>
      </c>
      <c r="O316" s="11">
        <f t="shared" si="28"/>
        <v>5.4</v>
      </c>
      <c r="P316" s="11">
        <f>(A316-B316)*(Equations!$H$69*$Q$240+C316)</f>
        <v>6.646153846</v>
      </c>
      <c r="Q316" s="11">
        <f>(A316-B316)*(Equations!$H$69*$R$240+C316)</f>
        <v>4.153846154</v>
      </c>
      <c r="R316" s="11"/>
      <c r="S316" s="11"/>
      <c r="T316" s="11"/>
      <c r="U316" s="11"/>
      <c r="V316" s="11"/>
      <c r="W316" s="11"/>
      <c r="X316" s="11"/>
      <c r="Y316" s="11"/>
      <c r="Z316" s="11"/>
      <c r="AA316" s="11"/>
      <c r="AB316" s="11"/>
      <c r="AC316" s="11"/>
    </row>
    <row r="317" ht="12.0" customHeight="1">
      <c r="A317" s="11">
        <f>VINMAX</f>
        <v>30</v>
      </c>
      <c r="B317" s="292">
        <f>VINMAX*((ROW()-248)/104)</f>
        <v>19.90384615</v>
      </c>
      <c r="C317" s="267">
        <f t="shared" si="21"/>
        <v>0.2</v>
      </c>
      <c r="D317" s="262">
        <f>B240</f>
        <v>70.4</v>
      </c>
      <c r="E317" s="252">
        <f t="shared" si="22"/>
        <v>6.972952381</v>
      </c>
      <c r="F317" s="267">
        <f>Equations!$H$69+C317</f>
        <v>0.52</v>
      </c>
      <c r="G317" s="267">
        <f t="shared" si="23"/>
        <v>0.52</v>
      </c>
      <c r="H317" s="267">
        <f t="shared" si="24"/>
        <v>0.32</v>
      </c>
      <c r="I317" s="266">
        <f>(COUTMAX/1000000)*(B317-B316)/H317</f>
        <v>0.002704326923</v>
      </c>
      <c r="J317" s="266">
        <f t="shared" si="29"/>
        <v>0.1865985577</v>
      </c>
      <c r="K317" s="291">
        <f t="shared" si="25"/>
        <v>186.5985577</v>
      </c>
      <c r="L317" s="268">
        <f t="shared" si="26"/>
        <v>0.6153846154</v>
      </c>
      <c r="M317" s="11">
        <f>1/COUTMAX*(E317/2-C317)*1000</f>
        <v>1.095492063</v>
      </c>
      <c r="N317" s="289">
        <f t="shared" si="27"/>
        <v>0.01419771635</v>
      </c>
      <c r="O317" s="11">
        <f t="shared" si="28"/>
        <v>5.25</v>
      </c>
      <c r="P317" s="11">
        <f>(A317-B317)*(Equations!$H$69*$Q$240+C317)</f>
        <v>6.461538462</v>
      </c>
      <c r="Q317" s="11">
        <f>(A317-B317)*(Equations!$H$69*$R$240+C317)</f>
        <v>4.038461538</v>
      </c>
      <c r="R317" s="11"/>
      <c r="S317" s="11"/>
      <c r="T317" s="11"/>
      <c r="U317" s="11"/>
      <c r="V317" s="11"/>
      <c r="W317" s="11"/>
      <c r="X317" s="11"/>
      <c r="Y317" s="11"/>
      <c r="Z317" s="11"/>
      <c r="AA317" s="11"/>
      <c r="AB317" s="11"/>
      <c r="AC317" s="11"/>
    </row>
    <row r="318" ht="12.0" customHeight="1">
      <c r="A318" s="11">
        <f>VINMAX</f>
        <v>30</v>
      </c>
      <c r="B318" s="292">
        <f>VINMAX*((ROW()-248)/104)</f>
        <v>20.19230769</v>
      </c>
      <c r="C318" s="267">
        <f t="shared" si="21"/>
        <v>0.2</v>
      </c>
      <c r="D318" s="262">
        <f>B240</f>
        <v>70.4</v>
      </c>
      <c r="E318" s="252">
        <f t="shared" si="22"/>
        <v>7.178039216</v>
      </c>
      <c r="F318" s="267">
        <f>Equations!$H$69+C318</f>
        <v>0.52</v>
      </c>
      <c r="G318" s="267">
        <f t="shared" si="23"/>
        <v>0.52</v>
      </c>
      <c r="H318" s="267">
        <f t="shared" si="24"/>
        <v>0.32</v>
      </c>
      <c r="I318" s="266">
        <f>(COUTMAX/1000000)*(B318-B317)/H318</f>
        <v>0.002704326923</v>
      </c>
      <c r="J318" s="266">
        <f t="shared" si="29"/>
        <v>0.1893028846</v>
      </c>
      <c r="K318" s="291">
        <f t="shared" si="25"/>
        <v>189.3028846</v>
      </c>
      <c r="L318" s="268">
        <f t="shared" si="26"/>
        <v>0.6153846154</v>
      </c>
      <c r="M318" s="11">
        <f>1/COUTMAX*(E318/2-C318)*1000</f>
        <v>1.129673203</v>
      </c>
      <c r="N318" s="289">
        <f t="shared" si="27"/>
        <v>0.01379206731</v>
      </c>
      <c r="O318" s="11">
        <f t="shared" si="28"/>
        <v>5.1</v>
      </c>
      <c r="P318" s="11">
        <f>(A318-B318)*(Equations!$H$69*$Q$240+C318)</f>
        <v>6.276923077</v>
      </c>
      <c r="Q318" s="11">
        <f>(A318-B318)*(Equations!$H$69*$R$240+C318)</f>
        <v>3.923076923</v>
      </c>
      <c r="R318" s="11"/>
      <c r="S318" s="11"/>
      <c r="T318" s="11"/>
      <c r="U318" s="11"/>
      <c r="V318" s="11"/>
      <c r="W318" s="11"/>
      <c r="X318" s="11"/>
      <c r="Y318" s="11"/>
      <c r="Z318" s="11"/>
      <c r="AA318" s="11"/>
      <c r="AB318" s="11"/>
      <c r="AC318" s="11"/>
    </row>
    <row r="319" ht="12.0" customHeight="1">
      <c r="A319" s="11">
        <f>VINMAX</f>
        <v>30</v>
      </c>
      <c r="B319" s="292">
        <f>VINMAX*((ROW()-248)/104)</f>
        <v>20.48076923</v>
      </c>
      <c r="C319" s="267">
        <f t="shared" si="21"/>
        <v>0.2</v>
      </c>
      <c r="D319" s="262">
        <f>B240</f>
        <v>70.4</v>
      </c>
      <c r="E319" s="252">
        <f t="shared" si="22"/>
        <v>7.395555556</v>
      </c>
      <c r="F319" s="267">
        <f>Equations!$H$69+C319</f>
        <v>0.52</v>
      </c>
      <c r="G319" s="267">
        <f t="shared" si="23"/>
        <v>0.52</v>
      </c>
      <c r="H319" s="267">
        <f t="shared" si="24"/>
        <v>0.32</v>
      </c>
      <c r="I319" s="266">
        <f>(COUTMAX/1000000)*(B319-B318)/H319</f>
        <v>0.002704326923</v>
      </c>
      <c r="J319" s="266">
        <f t="shared" si="29"/>
        <v>0.1920072115</v>
      </c>
      <c r="K319" s="291">
        <f t="shared" si="25"/>
        <v>192.0072115</v>
      </c>
      <c r="L319" s="268">
        <f t="shared" si="26"/>
        <v>0.6153846154</v>
      </c>
      <c r="M319" s="11">
        <f>1/COUTMAX*(E319/2-C319)*1000</f>
        <v>1.165925926</v>
      </c>
      <c r="N319" s="289">
        <f t="shared" si="27"/>
        <v>0.01338641827</v>
      </c>
      <c r="O319" s="11">
        <f t="shared" si="28"/>
        <v>4.95</v>
      </c>
      <c r="P319" s="11">
        <f>(A319-B319)*(Equations!$H$69*$Q$240+C319)</f>
        <v>6.092307692</v>
      </c>
      <c r="Q319" s="11">
        <f>(A319-B319)*(Equations!$H$69*$R$240+C319)</f>
        <v>3.807692308</v>
      </c>
      <c r="R319" s="11"/>
      <c r="S319" s="11"/>
      <c r="T319" s="11"/>
      <c r="U319" s="11"/>
      <c r="V319" s="11"/>
      <c r="W319" s="11"/>
      <c r="X319" s="11"/>
      <c r="Y319" s="11"/>
      <c r="Z319" s="11"/>
      <c r="AA319" s="11"/>
      <c r="AB319" s="11"/>
      <c r="AC319" s="11"/>
    </row>
    <row r="320" ht="12.0" customHeight="1">
      <c r="A320" s="11">
        <f>VINMAX</f>
        <v>30</v>
      </c>
      <c r="B320" s="292">
        <f>VINMAX*((ROW()-248)/104)</f>
        <v>20.76923077</v>
      </c>
      <c r="C320" s="267">
        <f t="shared" si="21"/>
        <v>0.2</v>
      </c>
      <c r="D320" s="262">
        <f>B240</f>
        <v>70.4</v>
      </c>
      <c r="E320" s="252">
        <f t="shared" si="22"/>
        <v>7.626666667</v>
      </c>
      <c r="F320" s="267">
        <f>Equations!$H$69+C320</f>
        <v>0.52</v>
      </c>
      <c r="G320" s="267">
        <f t="shared" si="23"/>
        <v>0.52</v>
      </c>
      <c r="H320" s="267">
        <f t="shared" si="24"/>
        <v>0.32</v>
      </c>
      <c r="I320" s="266">
        <f>(COUTMAX/1000000)*(B320-B319)/H320</f>
        <v>0.002704326923</v>
      </c>
      <c r="J320" s="266">
        <f t="shared" si="29"/>
        <v>0.1947115385</v>
      </c>
      <c r="K320" s="291">
        <f t="shared" si="25"/>
        <v>194.7115385</v>
      </c>
      <c r="L320" s="268">
        <f t="shared" si="26"/>
        <v>0.6153846154</v>
      </c>
      <c r="M320" s="11">
        <f>1/COUTMAX*(E320/2-C320)*1000</f>
        <v>1.204444444</v>
      </c>
      <c r="N320" s="289">
        <f t="shared" si="27"/>
        <v>0.01298076923</v>
      </c>
      <c r="O320" s="11">
        <f t="shared" si="28"/>
        <v>4.8</v>
      </c>
      <c r="P320" s="11">
        <f>(A320-B320)*(Equations!$H$69*$Q$240+C320)</f>
        <v>5.907692308</v>
      </c>
      <c r="Q320" s="11">
        <f>(A320-B320)*(Equations!$H$69*$R$240+C320)</f>
        <v>3.692307692</v>
      </c>
      <c r="R320" s="11"/>
      <c r="S320" s="11"/>
      <c r="T320" s="11"/>
      <c r="U320" s="11"/>
      <c r="V320" s="11"/>
      <c r="W320" s="11"/>
      <c r="X320" s="11"/>
      <c r="Y320" s="11"/>
      <c r="Z320" s="11"/>
      <c r="AA320" s="11"/>
      <c r="AB320" s="11"/>
      <c r="AC320" s="11"/>
    </row>
    <row r="321" ht="12.0" customHeight="1">
      <c r="A321" s="11">
        <f>VINMAX</f>
        <v>30</v>
      </c>
      <c r="B321" s="292">
        <f>VINMAX*((ROW()-248)/104)</f>
        <v>21.05769231</v>
      </c>
      <c r="C321" s="267">
        <f t="shared" si="21"/>
        <v>0.2</v>
      </c>
      <c r="D321" s="262">
        <f>B240</f>
        <v>70.4</v>
      </c>
      <c r="E321" s="252">
        <f t="shared" si="22"/>
        <v>7.872688172</v>
      </c>
      <c r="F321" s="267">
        <f>Equations!$H$69+C321</f>
        <v>0.52</v>
      </c>
      <c r="G321" s="267">
        <f t="shared" si="23"/>
        <v>0.52</v>
      </c>
      <c r="H321" s="267">
        <f t="shared" si="24"/>
        <v>0.32</v>
      </c>
      <c r="I321" s="266">
        <f>(COUTMAX/1000000)*(B321-B320)/H321</f>
        <v>0.002704326923</v>
      </c>
      <c r="J321" s="266">
        <f t="shared" si="29"/>
        <v>0.1974158654</v>
      </c>
      <c r="K321" s="291">
        <f t="shared" si="25"/>
        <v>197.4158654</v>
      </c>
      <c r="L321" s="268">
        <f t="shared" si="26"/>
        <v>0.6153846154</v>
      </c>
      <c r="M321" s="11">
        <f>1/COUTMAX*(E321/2-C321)*1000</f>
        <v>1.245448029</v>
      </c>
      <c r="N321" s="289">
        <f t="shared" si="27"/>
        <v>0.01257512019</v>
      </c>
      <c r="O321" s="11">
        <f t="shared" si="28"/>
        <v>4.65</v>
      </c>
      <c r="P321" s="11">
        <f>(A321-B321)*(Equations!$H$69*$Q$240+C321)</f>
        <v>5.723076923</v>
      </c>
      <c r="Q321" s="11">
        <f>(A321-B321)*(Equations!$H$69*$R$240+C321)</f>
        <v>3.576923077</v>
      </c>
      <c r="R321" s="11"/>
      <c r="S321" s="11"/>
      <c r="T321" s="11"/>
      <c r="U321" s="11"/>
      <c r="V321" s="11"/>
      <c r="W321" s="11"/>
      <c r="X321" s="11"/>
      <c r="Y321" s="11"/>
      <c r="Z321" s="11"/>
      <c r="AA321" s="11"/>
      <c r="AB321" s="11"/>
      <c r="AC321" s="11"/>
    </row>
    <row r="322" ht="12.0" customHeight="1">
      <c r="A322" s="11">
        <f>VINMAX</f>
        <v>30</v>
      </c>
      <c r="B322" s="292">
        <f>VINMAX*((ROW()-248)/104)</f>
        <v>21.34615385</v>
      </c>
      <c r="C322" s="267">
        <f t="shared" si="21"/>
        <v>0.2</v>
      </c>
      <c r="D322" s="262">
        <f>B240</f>
        <v>70.4</v>
      </c>
      <c r="E322" s="252">
        <f t="shared" si="22"/>
        <v>8.135111111</v>
      </c>
      <c r="F322" s="267">
        <f>Equations!$H$69+C322</f>
        <v>0.52</v>
      </c>
      <c r="G322" s="267">
        <f t="shared" si="23"/>
        <v>0.52</v>
      </c>
      <c r="H322" s="267">
        <f t="shared" si="24"/>
        <v>0.32</v>
      </c>
      <c r="I322" s="266">
        <f>(COUTMAX/1000000)*(B322-B321)/H322</f>
        <v>0.002704326923</v>
      </c>
      <c r="J322" s="266">
        <f t="shared" si="29"/>
        <v>0.2001201923</v>
      </c>
      <c r="K322" s="291">
        <f t="shared" si="25"/>
        <v>200.1201923</v>
      </c>
      <c r="L322" s="268">
        <f t="shared" si="26"/>
        <v>0.6153846154</v>
      </c>
      <c r="M322" s="11">
        <f>1/COUTMAX*(E322/2-C322)*1000</f>
        <v>1.289185185</v>
      </c>
      <c r="N322" s="289">
        <f t="shared" si="27"/>
        <v>0.01216947115</v>
      </c>
      <c r="O322" s="11">
        <f t="shared" si="28"/>
        <v>4.5</v>
      </c>
      <c r="P322" s="11">
        <f>(A322-B322)*(Equations!$H$69*$Q$240+C322)</f>
        <v>5.538461538</v>
      </c>
      <c r="Q322" s="11">
        <f>(A322-B322)*(Equations!$H$69*$R$240+C322)</f>
        <v>3.461538462</v>
      </c>
      <c r="R322" s="11"/>
      <c r="S322" s="11"/>
      <c r="T322" s="11"/>
      <c r="U322" s="11"/>
      <c r="V322" s="11"/>
      <c r="W322" s="11"/>
      <c r="X322" s="11"/>
      <c r="Y322" s="11"/>
      <c r="Z322" s="11"/>
      <c r="AA322" s="11"/>
      <c r="AB322" s="11"/>
      <c r="AC322" s="11"/>
    </row>
    <row r="323" ht="12.0" customHeight="1">
      <c r="A323" s="11">
        <f>VINMAX</f>
        <v>30</v>
      </c>
      <c r="B323" s="292">
        <f>VINMAX*((ROW()-248)/104)</f>
        <v>21.63461538</v>
      </c>
      <c r="C323" s="267">
        <f t="shared" si="21"/>
        <v>0.2</v>
      </c>
      <c r="D323" s="262">
        <f>B240</f>
        <v>70.4</v>
      </c>
      <c r="E323" s="252">
        <f t="shared" si="22"/>
        <v>8.415632184</v>
      </c>
      <c r="F323" s="267">
        <f>Equations!$H$69+C323</f>
        <v>0.52</v>
      </c>
      <c r="G323" s="267">
        <f t="shared" si="23"/>
        <v>0.52</v>
      </c>
      <c r="H323" s="267">
        <f t="shared" si="24"/>
        <v>0.32</v>
      </c>
      <c r="I323" s="266">
        <f>(COUTMAX/1000000)*(B323-B322)/H323</f>
        <v>0.002704326923</v>
      </c>
      <c r="J323" s="266">
        <f t="shared" si="29"/>
        <v>0.2028245192</v>
      </c>
      <c r="K323" s="291">
        <f t="shared" si="25"/>
        <v>202.8245192</v>
      </c>
      <c r="L323" s="268">
        <f t="shared" si="26"/>
        <v>0.6153846154</v>
      </c>
      <c r="M323" s="11">
        <f>1/COUTMAX*(E323/2-C323)*1000</f>
        <v>1.335938697</v>
      </c>
      <c r="N323" s="289">
        <f t="shared" si="27"/>
        <v>0.01176382212</v>
      </c>
      <c r="O323" s="11">
        <f t="shared" si="28"/>
        <v>4.35</v>
      </c>
      <c r="P323" s="11">
        <f>(A323-B323)*(Equations!$H$69*$Q$240+C323)</f>
        <v>5.353846154</v>
      </c>
      <c r="Q323" s="11">
        <f>(A323-B323)*(Equations!$H$69*$R$240+C323)</f>
        <v>3.346153846</v>
      </c>
      <c r="R323" s="11"/>
      <c r="S323" s="11"/>
      <c r="T323" s="11"/>
      <c r="U323" s="11"/>
      <c r="V323" s="11"/>
      <c r="W323" s="11"/>
      <c r="X323" s="11"/>
      <c r="Y323" s="11"/>
      <c r="Z323" s="11"/>
      <c r="AA323" s="11"/>
      <c r="AB323" s="11"/>
      <c r="AC323" s="11"/>
    </row>
    <row r="324" ht="12.0" customHeight="1">
      <c r="A324" s="11">
        <f>VINMAX</f>
        <v>30</v>
      </c>
      <c r="B324" s="292">
        <f>VINMAX*((ROW()-248)/104)</f>
        <v>21.92307692</v>
      </c>
      <c r="C324" s="267">
        <f t="shared" si="21"/>
        <v>0.2</v>
      </c>
      <c r="D324" s="262">
        <f>B240</f>
        <v>70.4</v>
      </c>
      <c r="E324" s="252">
        <f t="shared" si="22"/>
        <v>8.716190476</v>
      </c>
      <c r="F324" s="267">
        <f>Equations!$H$69+C324</f>
        <v>0.52</v>
      </c>
      <c r="G324" s="267">
        <f t="shared" si="23"/>
        <v>0.52</v>
      </c>
      <c r="H324" s="267">
        <f t="shared" si="24"/>
        <v>0.32</v>
      </c>
      <c r="I324" s="266">
        <f>(COUTMAX/1000000)*(B324-B323)/H324</f>
        <v>0.002704326923</v>
      </c>
      <c r="J324" s="266">
        <f t="shared" si="29"/>
        <v>0.2055288462</v>
      </c>
      <c r="K324" s="291">
        <f t="shared" si="25"/>
        <v>205.5288462</v>
      </c>
      <c r="L324" s="268">
        <f t="shared" si="26"/>
        <v>0.6153846154</v>
      </c>
      <c r="M324" s="11">
        <f>1/COUTMAX*(E324/2-C324)*1000</f>
        <v>1.386031746</v>
      </c>
      <c r="N324" s="289">
        <f t="shared" si="27"/>
        <v>0.01135817308</v>
      </c>
      <c r="O324" s="11">
        <f t="shared" si="28"/>
        <v>4.2</v>
      </c>
      <c r="P324" s="11">
        <f>(A324-B324)*(Equations!$H$69*$Q$240+C324)</f>
        <v>5.169230769</v>
      </c>
      <c r="Q324" s="11">
        <f>(A324-B324)*(Equations!$H$69*$R$240+C324)</f>
        <v>3.230769231</v>
      </c>
      <c r="R324" s="11"/>
      <c r="S324" s="11"/>
      <c r="T324" s="11"/>
      <c r="U324" s="11"/>
      <c r="V324" s="11"/>
      <c r="W324" s="11"/>
      <c r="X324" s="11"/>
      <c r="Y324" s="11"/>
      <c r="Z324" s="11"/>
      <c r="AA324" s="11"/>
      <c r="AB324" s="11"/>
      <c r="AC324" s="11"/>
    </row>
    <row r="325" ht="12.0" customHeight="1">
      <c r="A325" s="11">
        <f>VINMAX</f>
        <v>30</v>
      </c>
      <c r="B325" s="292">
        <f>VINMAX*((ROW()-248)/104)</f>
        <v>22.21153846</v>
      </c>
      <c r="C325" s="267">
        <f t="shared" si="21"/>
        <v>0.2</v>
      </c>
      <c r="D325" s="262">
        <f>B240</f>
        <v>70.4</v>
      </c>
      <c r="E325" s="252">
        <f t="shared" si="22"/>
        <v>9.039012346</v>
      </c>
      <c r="F325" s="267">
        <f>Equations!$H$69+C325</f>
        <v>0.52</v>
      </c>
      <c r="G325" s="267">
        <f t="shared" si="23"/>
        <v>0.52</v>
      </c>
      <c r="H325" s="267">
        <f t="shared" si="24"/>
        <v>0.32</v>
      </c>
      <c r="I325" s="266">
        <f>(COUTMAX/1000000)*(B325-B324)/H325</f>
        <v>0.002704326923</v>
      </c>
      <c r="J325" s="266">
        <f t="shared" si="29"/>
        <v>0.2082331731</v>
      </c>
      <c r="K325" s="291">
        <f t="shared" si="25"/>
        <v>208.2331731</v>
      </c>
      <c r="L325" s="268">
        <f t="shared" si="26"/>
        <v>0.6153846154</v>
      </c>
      <c r="M325" s="11">
        <f>1/COUTMAX*(E325/2-C325)*1000</f>
        <v>1.439835391</v>
      </c>
      <c r="N325" s="289">
        <f t="shared" si="27"/>
        <v>0.01095252404</v>
      </c>
      <c r="O325" s="11">
        <f t="shared" si="28"/>
        <v>4.05</v>
      </c>
      <c r="P325" s="11">
        <f>(A325-B325)*(Equations!$H$69*$Q$240+C325)</f>
        <v>4.984615385</v>
      </c>
      <c r="Q325" s="11">
        <f>(A325-B325)*(Equations!$H$69*$R$240+C325)</f>
        <v>3.115384615</v>
      </c>
      <c r="R325" s="11"/>
      <c r="S325" s="11"/>
      <c r="T325" s="11"/>
      <c r="U325" s="11"/>
      <c r="V325" s="11"/>
      <c r="W325" s="11"/>
      <c r="X325" s="11"/>
      <c r="Y325" s="11"/>
      <c r="Z325" s="11"/>
      <c r="AA325" s="11"/>
      <c r="AB325" s="11"/>
      <c r="AC325" s="11"/>
    </row>
    <row r="326" ht="12.0" customHeight="1">
      <c r="A326" s="11">
        <f>VINMAX</f>
        <v>30</v>
      </c>
      <c r="B326" s="292">
        <f>VINMAX*((ROW()-248)/104)</f>
        <v>22.5</v>
      </c>
      <c r="C326" s="267">
        <f t="shared" si="21"/>
        <v>0.2</v>
      </c>
      <c r="D326" s="262">
        <f>B240</f>
        <v>70.4</v>
      </c>
      <c r="E326" s="252">
        <f t="shared" si="22"/>
        <v>9.386666667</v>
      </c>
      <c r="F326" s="267">
        <f>Equations!$H$69+C326</f>
        <v>0.52</v>
      </c>
      <c r="G326" s="267">
        <f t="shared" si="23"/>
        <v>0.52</v>
      </c>
      <c r="H326" s="267">
        <f t="shared" si="24"/>
        <v>0.32</v>
      </c>
      <c r="I326" s="266">
        <f>(COUTMAX/1000000)*(B326-B325)/H326</f>
        <v>0.002704326923</v>
      </c>
      <c r="J326" s="266">
        <f t="shared" si="29"/>
        <v>0.2109375</v>
      </c>
      <c r="K326" s="291">
        <f t="shared" si="25"/>
        <v>210.9375</v>
      </c>
      <c r="L326" s="268">
        <f t="shared" si="26"/>
        <v>0.6153846154</v>
      </c>
      <c r="M326" s="11">
        <f>1/COUTMAX*(E326/2-C326)*1000</f>
        <v>1.497777778</v>
      </c>
      <c r="N326" s="289">
        <f t="shared" si="27"/>
        <v>0.010546875</v>
      </c>
      <c r="O326" s="11">
        <f t="shared" si="28"/>
        <v>3.9</v>
      </c>
      <c r="P326" s="11">
        <f>(A326-B326)*(Equations!$H$69*$Q$240+C326)</f>
        <v>4.8</v>
      </c>
      <c r="Q326" s="11">
        <f>(A326-B326)*(Equations!$H$69*$R$240+C326)</f>
        <v>3</v>
      </c>
      <c r="R326" s="11"/>
      <c r="S326" s="11"/>
      <c r="T326" s="11"/>
      <c r="U326" s="11"/>
      <c r="V326" s="11"/>
      <c r="W326" s="11"/>
      <c r="X326" s="11"/>
      <c r="Y326" s="11"/>
      <c r="Z326" s="11"/>
      <c r="AA326" s="11"/>
      <c r="AB326" s="11"/>
      <c r="AC326" s="11"/>
    </row>
    <row r="327" ht="12.0" customHeight="1">
      <c r="A327" s="11">
        <f>VINMAX</f>
        <v>30</v>
      </c>
      <c r="B327" s="292">
        <f>VINMAX*((ROW()-248)/104)</f>
        <v>22.78846154</v>
      </c>
      <c r="C327" s="267">
        <f t="shared" si="21"/>
        <v>0.2</v>
      </c>
      <c r="D327" s="262">
        <f>B240</f>
        <v>70.4</v>
      </c>
      <c r="E327" s="252">
        <f t="shared" si="22"/>
        <v>9.762133333</v>
      </c>
      <c r="F327" s="267">
        <f>Equations!$H$69+C327</f>
        <v>0.52</v>
      </c>
      <c r="G327" s="267">
        <f t="shared" si="23"/>
        <v>0.52</v>
      </c>
      <c r="H327" s="267">
        <f t="shared" si="24"/>
        <v>0.32</v>
      </c>
      <c r="I327" s="266">
        <f>(COUTMAX/1000000)*(B327-B326)/H327</f>
        <v>0.002704326923</v>
      </c>
      <c r="J327" s="266">
        <f t="shared" si="29"/>
        <v>0.2136418269</v>
      </c>
      <c r="K327" s="291">
        <f t="shared" si="25"/>
        <v>213.6418269</v>
      </c>
      <c r="L327" s="268">
        <f t="shared" si="26"/>
        <v>0.6153846154</v>
      </c>
      <c r="M327" s="11">
        <f>1/COUTMAX*(E327/2-C327)*1000</f>
        <v>1.560355556</v>
      </c>
      <c r="N327" s="289">
        <f t="shared" si="27"/>
        <v>0.01014122596</v>
      </c>
      <c r="O327" s="11">
        <f t="shared" si="28"/>
        <v>3.75</v>
      </c>
      <c r="P327" s="11">
        <f>(A327-B327)*(Equations!$H$69*$Q$240+C327)</f>
        <v>4.615384615</v>
      </c>
      <c r="Q327" s="11">
        <f>(A327-B327)*(Equations!$H$69*$R$240+C327)</f>
        <v>2.884615385</v>
      </c>
      <c r="R327" s="11"/>
      <c r="S327" s="11"/>
      <c r="T327" s="11"/>
      <c r="U327" s="11"/>
      <c r="V327" s="11"/>
      <c r="W327" s="11"/>
      <c r="X327" s="11"/>
      <c r="Y327" s="11"/>
      <c r="Z327" s="11"/>
      <c r="AA327" s="11"/>
      <c r="AB327" s="11"/>
      <c r="AC327" s="11"/>
    </row>
    <row r="328" ht="12.0" customHeight="1">
      <c r="A328" s="11">
        <f>VINMAX</f>
        <v>30</v>
      </c>
      <c r="B328" s="292">
        <f>VINMAX*((ROW()-248)/104)</f>
        <v>23.07692308</v>
      </c>
      <c r="C328" s="267">
        <f t="shared" si="21"/>
        <v>0.2</v>
      </c>
      <c r="D328" s="262">
        <f>B240</f>
        <v>70.4</v>
      </c>
      <c r="E328" s="252">
        <f t="shared" si="22"/>
        <v>10.16888889</v>
      </c>
      <c r="F328" s="267">
        <f>Equations!$H$69+C328</f>
        <v>0.52</v>
      </c>
      <c r="G328" s="267">
        <f t="shared" si="23"/>
        <v>0.52</v>
      </c>
      <c r="H328" s="267">
        <f t="shared" si="24"/>
        <v>0.32</v>
      </c>
      <c r="I328" s="266">
        <f>(COUTMAX/1000000)*(B328-B327)/H328</f>
        <v>0.002704326923</v>
      </c>
      <c r="J328" s="266">
        <f t="shared" si="29"/>
        <v>0.2163461538</v>
      </c>
      <c r="K328" s="291">
        <f t="shared" si="25"/>
        <v>216.3461538</v>
      </c>
      <c r="L328" s="268">
        <f t="shared" si="26"/>
        <v>0.6153846154</v>
      </c>
      <c r="M328" s="11">
        <f>1/COUTMAX*(E328/2-C328)*1000</f>
        <v>1.628148148</v>
      </c>
      <c r="N328" s="289">
        <f t="shared" si="27"/>
        <v>0.009735576923</v>
      </c>
      <c r="O328" s="11">
        <f t="shared" si="28"/>
        <v>3.6</v>
      </c>
      <c r="P328" s="11">
        <f>(A328-B328)*(Equations!$H$69*$Q$240+C328)</f>
        <v>4.430769231</v>
      </c>
      <c r="Q328" s="11">
        <f>(A328-B328)*(Equations!$H$69*$R$240+C328)</f>
        <v>2.769230769</v>
      </c>
      <c r="R328" s="11"/>
      <c r="S328" s="11"/>
      <c r="T328" s="11"/>
      <c r="U328" s="11"/>
      <c r="V328" s="11"/>
      <c r="W328" s="11"/>
      <c r="X328" s="11"/>
      <c r="Y328" s="11"/>
      <c r="Z328" s="11"/>
      <c r="AA328" s="11"/>
      <c r="AB328" s="11"/>
      <c r="AC328" s="11"/>
    </row>
    <row r="329" ht="12.0" customHeight="1">
      <c r="A329" s="11">
        <f>VINMAX</f>
        <v>30</v>
      </c>
      <c r="B329" s="292">
        <f>VINMAX*((ROW()-248)/104)</f>
        <v>23.36538462</v>
      </c>
      <c r="C329" s="267">
        <f t="shared" si="21"/>
        <v>0.2</v>
      </c>
      <c r="D329" s="262">
        <f>B240</f>
        <v>70.4</v>
      </c>
      <c r="E329" s="252">
        <f t="shared" si="22"/>
        <v>10.61101449</v>
      </c>
      <c r="F329" s="267">
        <f>Equations!$H$69+C329</f>
        <v>0.52</v>
      </c>
      <c r="G329" s="267">
        <f t="shared" si="23"/>
        <v>0.52</v>
      </c>
      <c r="H329" s="267">
        <f t="shared" si="24"/>
        <v>0.32</v>
      </c>
      <c r="I329" s="266">
        <f>(COUTMAX/1000000)*(B329-B328)/H329</f>
        <v>0.002704326923</v>
      </c>
      <c r="J329" s="266">
        <f t="shared" si="29"/>
        <v>0.2190504808</v>
      </c>
      <c r="K329" s="291">
        <f t="shared" si="25"/>
        <v>219.0504808</v>
      </c>
      <c r="L329" s="268">
        <f t="shared" si="26"/>
        <v>0.6153846154</v>
      </c>
      <c r="M329" s="11">
        <f>1/COUTMAX*(E329/2-C329)*1000</f>
        <v>1.701835749</v>
      </c>
      <c r="N329" s="289">
        <f t="shared" si="27"/>
        <v>0.009329927885</v>
      </c>
      <c r="O329" s="11">
        <f t="shared" si="28"/>
        <v>3.45</v>
      </c>
      <c r="P329" s="11">
        <f>(A329-B329)*(Equations!$H$69*$Q$240+C329)</f>
        <v>4.246153846</v>
      </c>
      <c r="Q329" s="11">
        <f>(A329-B329)*(Equations!$H$69*$R$240+C329)</f>
        <v>2.653846154</v>
      </c>
      <c r="R329" s="11"/>
      <c r="S329" s="11"/>
      <c r="T329" s="11"/>
      <c r="U329" s="11"/>
      <c r="V329" s="11"/>
      <c r="W329" s="11"/>
      <c r="X329" s="11"/>
      <c r="Y329" s="11"/>
      <c r="Z329" s="11"/>
      <c r="AA329" s="11"/>
      <c r="AB329" s="11"/>
      <c r="AC329" s="11"/>
    </row>
    <row r="330" ht="12.0" customHeight="1">
      <c r="A330" s="11">
        <f>VINMAX</f>
        <v>30</v>
      </c>
      <c r="B330" s="292">
        <f>VINMAX*((ROW()-248)/104)</f>
        <v>23.65384615</v>
      </c>
      <c r="C330" s="267">
        <f t="shared" si="21"/>
        <v>0.2</v>
      </c>
      <c r="D330" s="262">
        <f>B240</f>
        <v>70.4</v>
      </c>
      <c r="E330" s="252">
        <f t="shared" si="22"/>
        <v>11.09333333</v>
      </c>
      <c r="F330" s="267">
        <f>Equations!$H$69+C330</f>
        <v>0.52</v>
      </c>
      <c r="G330" s="267">
        <f t="shared" si="23"/>
        <v>0.52</v>
      </c>
      <c r="H330" s="267">
        <f t="shared" si="24"/>
        <v>0.32</v>
      </c>
      <c r="I330" s="266">
        <f>(COUTMAX/1000000)*(B330-B329)/H330</f>
        <v>0.002704326923</v>
      </c>
      <c r="J330" s="266">
        <f t="shared" si="29"/>
        <v>0.2217548077</v>
      </c>
      <c r="K330" s="291">
        <f t="shared" si="25"/>
        <v>221.7548077</v>
      </c>
      <c r="L330" s="268">
        <f t="shared" si="26"/>
        <v>0.6153846154</v>
      </c>
      <c r="M330" s="11">
        <f>1/COUTMAX*(E330/2-C330)*1000</f>
        <v>1.782222222</v>
      </c>
      <c r="N330" s="289">
        <f t="shared" si="27"/>
        <v>0.008924278846</v>
      </c>
      <c r="O330" s="11">
        <f t="shared" si="28"/>
        <v>3.3</v>
      </c>
      <c r="P330" s="11">
        <f>(A330-B330)*(Equations!$H$69*$Q$240+C330)</f>
        <v>4.061538462</v>
      </c>
      <c r="Q330" s="11">
        <f>(A330-B330)*(Equations!$H$69*$R$240+C330)</f>
        <v>2.538461538</v>
      </c>
      <c r="R330" s="11"/>
      <c r="S330" s="11"/>
      <c r="T330" s="11"/>
      <c r="U330" s="11"/>
      <c r="V330" s="11"/>
      <c r="W330" s="11"/>
      <c r="X330" s="11"/>
      <c r="Y330" s="11"/>
      <c r="Z330" s="11"/>
      <c r="AA330" s="11"/>
      <c r="AB330" s="11"/>
      <c r="AC330" s="11"/>
    </row>
    <row r="331" ht="12.0" customHeight="1">
      <c r="A331" s="11">
        <f>VINMAX</f>
        <v>30</v>
      </c>
      <c r="B331" s="292">
        <f>VINMAX*((ROW()-248)/104)</f>
        <v>23.94230769</v>
      </c>
      <c r="C331" s="267">
        <f t="shared" si="21"/>
        <v>0.2</v>
      </c>
      <c r="D331" s="262">
        <f>B240</f>
        <v>70.4</v>
      </c>
      <c r="E331" s="252">
        <f t="shared" si="22"/>
        <v>11.6215873</v>
      </c>
      <c r="F331" s="267">
        <f>Equations!$H$69+C331</f>
        <v>0.52</v>
      </c>
      <c r="G331" s="267">
        <f t="shared" si="23"/>
        <v>0.52</v>
      </c>
      <c r="H331" s="267">
        <f t="shared" si="24"/>
        <v>0.32</v>
      </c>
      <c r="I331" s="266">
        <f>(COUTMAX/1000000)*(B331-B330)/H331</f>
        <v>0.002704326923</v>
      </c>
      <c r="J331" s="266">
        <f t="shared" si="29"/>
        <v>0.2244591346</v>
      </c>
      <c r="K331" s="291">
        <f t="shared" si="25"/>
        <v>224.4591346</v>
      </c>
      <c r="L331" s="268">
        <f t="shared" si="26"/>
        <v>0.6153846154</v>
      </c>
      <c r="M331" s="11">
        <f>1/COUTMAX*(E331/2-C331)*1000</f>
        <v>1.87026455</v>
      </c>
      <c r="N331" s="289">
        <f t="shared" si="27"/>
        <v>0.008518629808</v>
      </c>
      <c r="O331" s="11">
        <f t="shared" si="28"/>
        <v>3.15</v>
      </c>
      <c r="P331" s="11">
        <f>(A331-B331)*(Equations!$H$69*$Q$240+C331)</f>
        <v>3.876923077</v>
      </c>
      <c r="Q331" s="11">
        <f>(A331-B331)*(Equations!$H$69*$R$240+C331)</f>
        <v>2.423076923</v>
      </c>
      <c r="R331" s="11"/>
      <c r="S331" s="11"/>
      <c r="T331" s="11"/>
      <c r="U331" s="11"/>
      <c r="V331" s="11"/>
      <c r="W331" s="11"/>
      <c r="X331" s="11"/>
      <c r="Y331" s="11"/>
      <c r="Z331" s="11"/>
      <c r="AA331" s="11"/>
      <c r="AB331" s="11"/>
      <c r="AC331" s="11"/>
    </row>
    <row r="332" ht="12.0" customHeight="1">
      <c r="A332" s="11">
        <f>VINMAX</f>
        <v>30</v>
      </c>
      <c r="B332" s="292">
        <f>VINMAX*((ROW()-248)/104)</f>
        <v>24.23076923</v>
      </c>
      <c r="C332" s="267">
        <f t="shared" si="21"/>
        <v>0.2</v>
      </c>
      <c r="D332" s="262">
        <f>B240</f>
        <v>70.4</v>
      </c>
      <c r="E332" s="252">
        <f t="shared" si="22"/>
        <v>12.20266667</v>
      </c>
      <c r="F332" s="267">
        <f>Equations!$H$69+C332</f>
        <v>0.52</v>
      </c>
      <c r="G332" s="267">
        <f t="shared" si="23"/>
        <v>0.52</v>
      </c>
      <c r="H332" s="267">
        <f t="shared" si="24"/>
        <v>0.32</v>
      </c>
      <c r="I332" s="266">
        <f>(COUTMAX/1000000)*(B332-B331)/H332</f>
        <v>0.002704326923</v>
      </c>
      <c r="J332" s="266">
        <f t="shared" si="29"/>
        <v>0.2271634615</v>
      </c>
      <c r="K332" s="291">
        <f t="shared" si="25"/>
        <v>227.1634615</v>
      </c>
      <c r="L332" s="268">
        <f t="shared" si="26"/>
        <v>0.6153846154</v>
      </c>
      <c r="M332" s="11">
        <f>1/COUTMAX*(E332/2-C332)*1000</f>
        <v>1.967111111</v>
      </c>
      <c r="N332" s="289">
        <f t="shared" si="27"/>
        <v>0.008112980769</v>
      </c>
      <c r="O332" s="11">
        <f t="shared" si="28"/>
        <v>3</v>
      </c>
      <c r="P332" s="11">
        <f>(A332-B332)*(Equations!$H$69*$Q$240+C332)</f>
        <v>3.692307692</v>
      </c>
      <c r="Q332" s="11">
        <f>(A332-B332)*(Equations!$H$69*$R$240+C332)</f>
        <v>2.307692308</v>
      </c>
      <c r="R332" s="11"/>
      <c r="S332" s="11"/>
      <c r="T332" s="11"/>
      <c r="U332" s="11"/>
      <c r="V332" s="11"/>
      <c r="W332" s="11"/>
      <c r="X332" s="11"/>
      <c r="Y332" s="11"/>
      <c r="Z332" s="11"/>
      <c r="AA332" s="11"/>
      <c r="AB332" s="11"/>
      <c r="AC332" s="11"/>
    </row>
    <row r="333" ht="12.0" customHeight="1">
      <c r="A333" s="11">
        <f>VINMAX</f>
        <v>30</v>
      </c>
      <c r="B333" s="292">
        <f>VINMAX*((ROW()-248)/104)</f>
        <v>24.51923077</v>
      </c>
      <c r="C333" s="267">
        <f t="shared" si="21"/>
        <v>0.2</v>
      </c>
      <c r="D333" s="262">
        <f>B240</f>
        <v>70.4</v>
      </c>
      <c r="E333" s="252">
        <f t="shared" si="22"/>
        <v>12.84491228</v>
      </c>
      <c r="F333" s="267">
        <f>Equations!$H$69+C333</f>
        <v>0.52</v>
      </c>
      <c r="G333" s="267">
        <f t="shared" si="23"/>
        <v>0.52</v>
      </c>
      <c r="H333" s="267">
        <f t="shared" si="24"/>
        <v>0.32</v>
      </c>
      <c r="I333" s="266">
        <f>(COUTMAX/1000000)*(B333-B332)/H333</f>
        <v>0.002704326923</v>
      </c>
      <c r="J333" s="266">
        <f t="shared" si="29"/>
        <v>0.2298677885</v>
      </c>
      <c r="K333" s="291">
        <f t="shared" si="25"/>
        <v>229.8677885</v>
      </c>
      <c r="L333" s="268">
        <f t="shared" si="26"/>
        <v>0.6153846154</v>
      </c>
      <c r="M333" s="11">
        <f>1/COUTMAX*(E333/2-C333)*1000</f>
        <v>2.074152047</v>
      </c>
      <c r="N333" s="289">
        <f t="shared" si="27"/>
        <v>0.007707331731</v>
      </c>
      <c r="O333" s="11">
        <f t="shared" si="28"/>
        <v>2.85</v>
      </c>
      <c r="P333" s="11">
        <f>(A333-B333)*(Equations!$H$69*$Q$240+C333)</f>
        <v>3.507692308</v>
      </c>
      <c r="Q333" s="11">
        <f>(A333-B333)*(Equations!$H$69*$R$240+C333)</f>
        <v>2.192307692</v>
      </c>
      <c r="R333" s="11"/>
      <c r="S333" s="11"/>
      <c r="T333" s="11"/>
      <c r="U333" s="11"/>
      <c r="V333" s="11"/>
      <c r="W333" s="11"/>
      <c r="X333" s="11"/>
      <c r="Y333" s="11"/>
      <c r="Z333" s="11"/>
      <c r="AA333" s="11"/>
      <c r="AB333" s="11"/>
      <c r="AC333" s="11"/>
    </row>
    <row r="334" ht="12.0" customHeight="1">
      <c r="A334" s="11">
        <f>VINMAX</f>
        <v>30</v>
      </c>
      <c r="B334" s="292">
        <f>VINMAX*((ROW()-248)/104)</f>
        <v>24.80769231</v>
      </c>
      <c r="C334" s="267">
        <f t="shared" si="21"/>
        <v>0.2</v>
      </c>
      <c r="D334" s="262">
        <f>B240</f>
        <v>70.4</v>
      </c>
      <c r="E334" s="252">
        <f t="shared" si="22"/>
        <v>13.55851852</v>
      </c>
      <c r="F334" s="267">
        <f>Equations!$H$69+C334</f>
        <v>0.52</v>
      </c>
      <c r="G334" s="267">
        <f t="shared" si="23"/>
        <v>0.52</v>
      </c>
      <c r="H334" s="267">
        <f t="shared" si="24"/>
        <v>0.32</v>
      </c>
      <c r="I334" s="266">
        <f>(COUTMAX/1000000)*(B334-B333)/H334</f>
        <v>0.002704326923</v>
      </c>
      <c r="J334" s="266">
        <f t="shared" si="29"/>
        <v>0.2325721154</v>
      </c>
      <c r="K334" s="291">
        <f t="shared" si="25"/>
        <v>232.5721154</v>
      </c>
      <c r="L334" s="268">
        <f t="shared" si="26"/>
        <v>0.6153846154</v>
      </c>
      <c r="M334" s="11">
        <f>1/COUTMAX*(E334/2-C334)*1000</f>
        <v>2.19308642</v>
      </c>
      <c r="N334" s="289">
        <f t="shared" si="27"/>
        <v>0.007301682692</v>
      </c>
      <c r="O334" s="11">
        <f t="shared" si="28"/>
        <v>2.7</v>
      </c>
      <c r="P334" s="11">
        <f>(A334-B334)*(Equations!$H$69*$Q$240+C334)</f>
        <v>3.323076923</v>
      </c>
      <c r="Q334" s="11">
        <f>(A334-B334)*(Equations!$H$69*$R$240+C334)</f>
        <v>2.076923077</v>
      </c>
      <c r="R334" s="11"/>
      <c r="S334" s="11"/>
      <c r="T334" s="11"/>
      <c r="U334" s="11"/>
      <c r="V334" s="11"/>
      <c r="W334" s="11"/>
      <c r="X334" s="11"/>
      <c r="Y334" s="11"/>
      <c r="Z334" s="11"/>
      <c r="AA334" s="11"/>
      <c r="AB334" s="11"/>
      <c r="AC334" s="11"/>
    </row>
    <row r="335" ht="12.0" customHeight="1">
      <c r="A335" s="11">
        <f>VINMAX</f>
        <v>30</v>
      </c>
      <c r="B335" s="292">
        <f>VINMAX*((ROW()-248)/104)</f>
        <v>25.09615385</v>
      </c>
      <c r="C335" s="267">
        <f t="shared" si="21"/>
        <v>0.2</v>
      </c>
      <c r="D335" s="262">
        <f>B240</f>
        <v>70.4</v>
      </c>
      <c r="E335" s="252">
        <f t="shared" si="22"/>
        <v>14.35607843</v>
      </c>
      <c r="F335" s="267">
        <f>Equations!$H$69+C335</f>
        <v>0.52</v>
      </c>
      <c r="G335" s="267">
        <f t="shared" si="23"/>
        <v>0.52</v>
      </c>
      <c r="H335" s="267">
        <f t="shared" si="24"/>
        <v>0.32</v>
      </c>
      <c r="I335" s="266">
        <f>(COUTMAX/1000000)*(B335-B334)/H335</f>
        <v>0.002704326923</v>
      </c>
      <c r="J335" s="266">
        <f t="shared" si="29"/>
        <v>0.2352764423</v>
      </c>
      <c r="K335" s="291">
        <f t="shared" si="25"/>
        <v>235.2764423</v>
      </c>
      <c r="L335" s="268">
        <f t="shared" si="26"/>
        <v>0.6153846154</v>
      </c>
      <c r="M335" s="11">
        <f>1/COUTMAX*(E335/2-C335)*1000</f>
        <v>2.326013072</v>
      </c>
      <c r="N335" s="289">
        <f t="shared" si="27"/>
        <v>0.006896033654</v>
      </c>
      <c r="O335" s="11">
        <f t="shared" si="28"/>
        <v>2.55</v>
      </c>
      <c r="P335" s="11">
        <f>(A335-B335)*(Equations!$H$69*$Q$240+C335)</f>
        <v>3.138461538</v>
      </c>
      <c r="Q335" s="11">
        <f>(A335-B335)*(Equations!$H$69*$R$240+C335)</f>
        <v>1.961538462</v>
      </c>
      <c r="R335" s="11"/>
      <c r="S335" s="11"/>
      <c r="T335" s="11"/>
      <c r="U335" s="11"/>
      <c r="V335" s="11"/>
      <c r="W335" s="11"/>
      <c r="X335" s="11"/>
      <c r="Y335" s="11"/>
      <c r="Z335" s="11"/>
      <c r="AA335" s="11"/>
      <c r="AB335" s="11"/>
      <c r="AC335" s="11"/>
    </row>
    <row r="336" ht="12.0" customHeight="1">
      <c r="A336" s="11">
        <f>VINMAX</f>
        <v>30</v>
      </c>
      <c r="B336" s="292">
        <f>VINMAX*((ROW()-248)/104)</f>
        <v>25.38461538</v>
      </c>
      <c r="C336" s="267">
        <f t="shared" si="21"/>
        <v>0.2</v>
      </c>
      <c r="D336" s="262">
        <f>B240</f>
        <v>70.4</v>
      </c>
      <c r="E336" s="252">
        <f t="shared" si="22"/>
        <v>15.25333333</v>
      </c>
      <c r="F336" s="267">
        <f>Equations!$H$69+C336</f>
        <v>0.52</v>
      </c>
      <c r="G336" s="267">
        <f t="shared" si="23"/>
        <v>0.52</v>
      </c>
      <c r="H336" s="267">
        <f t="shared" si="24"/>
        <v>0.32</v>
      </c>
      <c r="I336" s="266">
        <f>(COUTMAX/1000000)*(B336-B335)/H336</f>
        <v>0.002704326923</v>
      </c>
      <c r="J336" s="266">
        <f t="shared" si="29"/>
        <v>0.2379807692</v>
      </c>
      <c r="K336" s="291">
        <f t="shared" si="25"/>
        <v>237.9807692</v>
      </c>
      <c r="L336" s="268">
        <f t="shared" si="26"/>
        <v>0.6153846154</v>
      </c>
      <c r="M336" s="11">
        <f>1/COUTMAX*(E336/2-C336)*1000</f>
        <v>2.475555556</v>
      </c>
      <c r="N336" s="289">
        <f t="shared" si="27"/>
        <v>0.006490384615</v>
      </c>
      <c r="O336" s="11">
        <f t="shared" si="28"/>
        <v>2.4</v>
      </c>
      <c r="P336" s="11">
        <f>(A336-B336)*(Equations!$H$69*$Q$240+C336)</f>
        <v>2.953846154</v>
      </c>
      <c r="Q336" s="11">
        <f>(A336-B336)*(Equations!$H$69*$R$240+C336)</f>
        <v>1.846153846</v>
      </c>
      <c r="R336" s="11"/>
      <c r="S336" s="11"/>
      <c r="T336" s="11"/>
      <c r="U336" s="11"/>
      <c r="V336" s="11"/>
      <c r="W336" s="11"/>
      <c r="X336" s="11"/>
      <c r="Y336" s="11"/>
      <c r="Z336" s="11"/>
      <c r="AA336" s="11"/>
      <c r="AB336" s="11"/>
      <c r="AC336" s="11"/>
    </row>
    <row r="337" ht="12.0" customHeight="1">
      <c r="A337" s="11">
        <f>VINMAX</f>
        <v>30</v>
      </c>
      <c r="B337" s="292">
        <f>VINMAX*((ROW()-248)/104)</f>
        <v>25.67307692</v>
      </c>
      <c r="C337" s="267">
        <f t="shared" si="21"/>
        <v>0.2</v>
      </c>
      <c r="D337" s="262">
        <f>B240</f>
        <v>70.4</v>
      </c>
      <c r="E337" s="252">
        <f t="shared" si="22"/>
        <v>16.27022222</v>
      </c>
      <c r="F337" s="267">
        <f>Equations!$H$69+C337</f>
        <v>0.52</v>
      </c>
      <c r="G337" s="267">
        <f t="shared" si="23"/>
        <v>0.52</v>
      </c>
      <c r="H337" s="267">
        <f t="shared" si="24"/>
        <v>0.32</v>
      </c>
      <c r="I337" s="266">
        <f>(COUTMAX/1000000)*(B337-B336)/H337</f>
        <v>0.002704326923</v>
      </c>
      <c r="J337" s="266">
        <f t="shared" si="29"/>
        <v>0.2406850962</v>
      </c>
      <c r="K337" s="291">
        <f t="shared" si="25"/>
        <v>240.6850962</v>
      </c>
      <c r="L337" s="268">
        <f t="shared" si="26"/>
        <v>0.6153846154</v>
      </c>
      <c r="M337" s="11">
        <f>1/COUTMAX*(E337/2-C337)*1000</f>
        <v>2.645037037</v>
      </c>
      <c r="N337" s="289">
        <f t="shared" si="27"/>
        <v>0.006084735577</v>
      </c>
      <c r="O337" s="11">
        <f t="shared" si="28"/>
        <v>2.25</v>
      </c>
      <c r="P337" s="11">
        <f>(A337-B337)*(Equations!$H$69*$Q$240+C337)</f>
        <v>2.769230769</v>
      </c>
      <c r="Q337" s="11">
        <f>(A337-B337)*(Equations!$H$69*$R$240+C337)</f>
        <v>1.730769231</v>
      </c>
      <c r="R337" s="11"/>
      <c r="S337" s="11"/>
      <c r="T337" s="11"/>
      <c r="U337" s="11"/>
      <c r="V337" s="11"/>
      <c r="W337" s="11"/>
      <c r="X337" s="11"/>
      <c r="Y337" s="11"/>
      <c r="Z337" s="11"/>
      <c r="AA337" s="11"/>
      <c r="AB337" s="11"/>
      <c r="AC337" s="11"/>
    </row>
    <row r="338" ht="12.0" customHeight="1">
      <c r="A338" s="11">
        <f>VINMAX</f>
        <v>30</v>
      </c>
      <c r="B338" s="292">
        <f>VINMAX*((ROW()-248)/104)</f>
        <v>25.96153846</v>
      </c>
      <c r="C338" s="267">
        <f t="shared" si="21"/>
        <v>0.2</v>
      </c>
      <c r="D338" s="262">
        <f>B240</f>
        <v>70.4</v>
      </c>
      <c r="E338" s="252">
        <f t="shared" si="22"/>
        <v>17.43238095</v>
      </c>
      <c r="F338" s="267">
        <f>Equations!$H$69+C338</f>
        <v>0.52</v>
      </c>
      <c r="G338" s="267">
        <f t="shared" si="23"/>
        <v>0.52</v>
      </c>
      <c r="H338" s="267">
        <f t="shared" si="24"/>
        <v>0.32</v>
      </c>
      <c r="I338" s="266">
        <f>(COUTMAX/1000000)*(B338-B337)/H338</f>
        <v>0.002704326923</v>
      </c>
      <c r="J338" s="266">
        <f t="shared" si="29"/>
        <v>0.2433894231</v>
      </c>
      <c r="K338" s="291">
        <f t="shared" si="25"/>
        <v>243.3894231</v>
      </c>
      <c r="L338" s="268">
        <f t="shared" si="26"/>
        <v>0.6153846154</v>
      </c>
      <c r="M338" s="11">
        <f>1/COUTMAX*(E338/2-C338)*1000</f>
        <v>2.838730159</v>
      </c>
      <c r="N338" s="289">
        <f t="shared" si="27"/>
        <v>0.005679086538</v>
      </c>
      <c r="O338" s="11">
        <f t="shared" si="28"/>
        <v>2.1</v>
      </c>
      <c r="P338" s="11">
        <f>(A338-B338)*(Equations!$H$69*$Q$240+C338)</f>
        <v>2.584615385</v>
      </c>
      <c r="Q338" s="11">
        <f>(A338-B338)*(Equations!$H$69*$R$240+C338)</f>
        <v>1.615384615</v>
      </c>
      <c r="R338" s="11"/>
      <c r="S338" s="11"/>
      <c r="T338" s="11"/>
      <c r="U338" s="11"/>
      <c r="V338" s="11"/>
      <c r="W338" s="11"/>
      <c r="X338" s="11"/>
      <c r="Y338" s="11"/>
      <c r="Z338" s="11"/>
      <c r="AA338" s="11"/>
      <c r="AB338" s="11"/>
      <c r="AC338" s="11"/>
    </row>
    <row r="339" ht="12.0" customHeight="1">
      <c r="A339" s="11">
        <f>VINMAX</f>
        <v>30</v>
      </c>
      <c r="B339" s="292">
        <f>VINMAX*((ROW()-248)/104)</f>
        <v>26.25</v>
      </c>
      <c r="C339" s="267">
        <f t="shared" si="21"/>
        <v>0.2</v>
      </c>
      <c r="D339" s="262">
        <f>B240</f>
        <v>70.4</v>
      </c>
      <c r="E339" s="252">
        <f t="shared" si="22"/>
        <v>18.77333333</v>
      </c>
      <c r="F339" s="267">
        <f>Equations!$H$69+C339</f>
        <v>0.52</v>
      </c>
      <c r="G339" s="267">
        <f t="shared" si="23"/>
        <v>0.52</v>
      </c>
      <c r="H339" s="267">
        <f t="shared" si="24"/>
        <v>0.32</v>
      </c>
      <c r="I339" s="266">
        <f>(COUTMAX/1000000)*(B339-B338)/H339</f>
        <v>0.002704326923</v>
      </c>
      <c r="J339" s="266">
        <f t="shared" si="29"/>
        <v>0.24609375</v>
      </c>
      <c r="K339" s="291">
        <f t="shared" si="25"/>
        <v>246.09375</v>
      </c>
      <c r="L339" s="268">
        <f t="shared" si="26"/>
        <v>0.6153846154</v>
      </c>
      <c r="M339" s="11">
        <f>1/COUTMAX*(E339/2-C339)*1000</f>
        <v>3.062222222</v>
      </c>
      <c r="N339" s="289">
        <f t="shared" si="27"/>
        <v>0.0052734375</v>
      </c>
      <c r="O339" s="11">
        <f t="shared" si="28"/>
        <v>1.95</v>
      </c>
      <c r="P339" s="11">
        <f>(A339-B339)*(Equations!$H$69*$Q$240+C339)</f>
        <v>2.4</v>
      </c>
      <c r="Q339" s="11">
        <f>(A339-B339)*(Equations!$H$69*$R$240+C339)</f>
        <v>1.5</v>
      </c>
      <c r="R339" s="11"/>
      <c r="S339" s="11"/>
      <c r="T339" s="11"/>
      <c r="U339" s="11"/>
      <c r="V339" s="11"/>
      <c r="W339" s="11"/>
      <c r="X339" s="11"/>
      <c r="Y339" s="11"/>
      <c r="Z339" s="11"/>
      <c r="AA339" s="11"/>
      <c r="AB339" s="11"/>
      <c r="AC339" s="11"/>
    </row>
    <row r="340" ht="12.0" customHeight="1">
      <c r="A340" s="11">
        <f>VINMAX</f>
        <v>30</v>
      </c>
      <c r="B340" s="292">
        <f>VINMAX*((ROW()-248)/104)</f>
        <v>26.53846154</v>
      </c>
      <c r="C340" s="267">
        <f t="shared" si="21"/>
        <v>0.2</v>
      </c>
      <c r="D340" s="262">
        <f>B240</f>
        <v>70.4</v>
      </c>
      <c r="E340" s="252">
        <f t="shared" si="22"/>
        <v>20.33777778</v>
      </c>
      <c r="F340" s="267">
        <f>Equations!$H$69+C340</f>
        <v>0.52</v>
      </c>
      <c r="G340" s="267">
        <f t="shared" si="23"/>
        <v>0.52</v>
      </c>
      <c r="H340" s="267">
        <f t="shared" si="24"/>
        <v>0.32</v>
      </c>
      <c r="I340" s="266">
        <f>(COUTMAX/1000000)*(B340-B339)/H340</f>
        <v>0.002704326923</v>
      </c>
      <c r="J340" s="266">
        <f t="shared" si="29"/>
        <v>0.2487980769</v>
      </c>
      <c r="K340" s="291">
        <f t="shared" si="25"/>
        <v>248.7980769</v>
      </c>
      <c r="L340" s="268">
        <f t="shared" si="26"/>
        <v>0.6153846154</v>
      </c>
      <c r="M340" s="11">
        <f>1/COUTMAX*(E340/2-C340)*1000</f>
        <v>3.322962963</v>
      </c>
      <c r="N340" s="289">
        <f t="shared" si="27"/>
        <v>0.004867788462</v>
      </c>
      <c r="O340" s="11">
        <f t="shared" si="28"/>
        <v>1.8</v>
      </c>
      <c r="P340" s="11">
        <f>(A340-B340)*(Equations!$H$69*$Q$240+C340)</f>
        <v>2.215384615</v>
      </c>
      <c r="Q340" s="11">
        <f>(A340-B340)*(Equations!$H$69*$R$240+C340)</f>
        <v>1.384615385</v>
      </c>
      <c r="R340" s="11"/>
      <c r="S340" s="11"/>
      <c r="T340" s="11"/>
      <c r="U340" s="11"/>
      <c r="V340" s="11"/>
      <c r="W340" s="11"/>
      <c r="X340" s="11"/>
      <c r="Y340" s="11"/>
      <c r="Z340" s="11"/>
      <c r="AA340" s="11"/>
      <c r="AB340" s="11"/>
      <c r="AC340" s="11"/>
    </row>
    <row r="341" ht="12.0" customHeight="1">
      <c r="A341" s="11">
        <f>VINMAX</f>
        <v>30</v>
      </c>
      <c r="B341" s="292">
        <f>VINMAX*((ROW()-248)/104)</f>
        <v>26.82692308</v>
      </c>
      <c r="C341" s="267">
        <f t="shared" si="21"/>
        <v>0.2</v>
      </c>
      <c r="D341" s="262">
        <f>B240</f>
        <v>70.4</v>
      </c>
      <c r="E341" s="252">
        <f t="shared" si="22"/>
        <v>22</v>
      </c>
      <c r="F341" s="267">
        <f>Equations!$H$69+C341</f>
        <v>0.52</v>
      </c>
      <c r="G341" s="267">
        <f t="shared" si="23"/>
        <v>0.52</v>
      </c>
      <c r="H341" s="267">
        <f t="shared" si="24"/>
        <v>0.32</v>
      </c>
      <c r="I341" s="266">
        <f>(COUTMAX/1000000)*(B341-B340)/H341</f>
        <v>0.002704326923</v>
      </c>
      <c r="J341" s="266">
        <f t="shared" si="29"/>
        <v>0.2515024038</v>
      </c>
      <c r="K341" s="291">
        <f t="shared" si="25"/>
        <v>251.5024038</v>
      </c>
      <c r="L341" s="268">
        <f t="shared" si="26"/>
        <v>0.6153846154</v>
      </c>
      <c r="M341" s="11">
        <f>1/COUTMAX*(E341/2-C341)*1000</f>
        <v>3.6</v>
      </c>
      <c r="N341" s="289">
        <f t="shared" si="27"/>
        <v>0.004462139423</v>
      </c>
      <c r="O341" s="11">
        <f t="shared" si="28"/>
        <v>1.65</v>
      </c>
      <c r="P341" s="11">
        <f>(A341-B341)*(Equations!$H$69*$Q$240+C341)</f>
        <v>2.030769231</v>
      </c>
      <c r="Q341" s="11">
        <f>(A341-B341)*(Equations!$H$69*$R$240+C341)</f>
        <v>1.269230769</v>
      </c>
      <c r="R341" s="11"/>
      <c r="S341" s="11"/>
      <c r="T341" s="11"/>
      <c r="U341" s="11"/>
      <c r="V341" s="11"/>
      <c r="W341" s="11"/>
      <c r="X341" s="11"/>
      <c r="Y341" s="11"/>
      <c r="Z341" s="11"/>
      <c r="AA341" s="11"/>
      <c r="AB341" s="11"/>
      <c r="AC341" s="11"/>
    </row>
    <row r="342" ht="12.0" customHeight="1">
      <c r="A342" s="11">
        <f>VINMAX</f>
        <v>30</v>
      </c>
      <c r="B342" s="292">
        <f>VINMAX*((ROW()-248)/104)</f>
        <v>27.11538462</v>
      </c>
      <c r="C342" s="267">
        <f t="shared" si="21"/>
        <v>0.2</v>
      </c>
      <c r="D342" s="262">
        <f>B240</f>
        <v>70.4</v>
      </c>
      <c r="E342" s="252">
        <f t="shared" si="22"/>
        <v>22</v>
      </c>
      <c r="F342" s="267">
        <f>Equations!$H$69+C342</f>
        <v>0.52</v>
      </c>
      <c r="G342" s="267">
        <f t="shared" si="23"/>
        <v>0.52</v>
      </c>
      <c r="H342" s="267">
        <f t="shared" si="24"/>
        <v>0.32</v>
      </c>
      <c r="I342" s="266">
        <f>(COUTMAX/1000000)*(B342-B341)/H342</f>
        <v>0.002704326923</v>
      </c>
      <c r="J342" s="266">
        <f t="shared" si="29"/>
        <v>0.2542067308</v>
      </c>
      <c r="K342" s="291">
        <f t="shared" si="25"/>
        <v>254.2067308</v>
      </c>
      <c r="L342" s="268">
        <f t="shared" si="26"/>
        <v>0.6153846154</v>
      </c>
      <c r="M342" s="11">
        <f>1/COUTMAX*(E342/2-C342)*1000</f>
        <v>3.6</v>
      </c>
      <c r="N342" s="289">
        <f t="shared" si="27"/>
        <v>0.004056490385</v>
      </c>
      <c r="O342" s="11">
        <f t="shared" si="28"/>
        <v>1.5</v>
      </c>
      <c r="P342" s="11">
        <f>(A342-B342)*(Equations!$H$69*$Q$240+C342)</f>
        <v>1.846153846</v>
      </c>
      <c r="Q342" s="11">
        <f>(A342-B342)*(Equations!$H$69*$R$240+C342)</f>
        <v>1.153846154</v>
      </c>
      <c r="R342" s="11"/>
      <c r="S342" s="11"/>
      <c r="T342" s="11"/>
      <c r="U342" s="11"/>
      <c r="V342" s="11"/>
      <c r="W342" s="11"/>
      <c r="X342" s="11"/>
      <c r="Y342" s="11"/>
      <c r="Z342" s="11"/>
      <c r="AA342" s="11"/>
      <c r="AB342" s="11"/>
      <c r="AC342" s="11"/>
    </row>
    <row r="343" ht="12.0" customHeight="1">
      <c r="A343" s="11">
        <f>VINMAX</f>
        <v>30</v>
      </c>
      <c r="B343" s="292">
        <f>VINMAX*((ROW()-248)/104)</f>
        <v>27.40384615</v>
      </c>
      <c r="C343" s="267">
        <f t="shared" si="21"/>
        <v>0.2</v>
      </c>
      <c r="D343" s="262">
        <f>B240</f>
        <v>70.4</v>
      </c>
      <c r="E343" s="252">
        <f t="shared" si="22"/>
        <v>22</v>
      </c>
      <c r="F343" s="267">
        <f>Equations!$H$69+C343</f>
        <v>0.52</v>
      </c>
      <c r="G343" s="267">
        <f t="shared" si="23"/>
        <v>0.52</v>
      </c>
      <c r="H343" s="267">
        <f t="shared" si="24"/>
        <v>0.32</v>
      </c>
      <c r="I343" s="266">
        <f>(COUTMAX/1000000)*(B343-B342)/H343</f>
        <v>0.002704326923</v>
      </c>
      <c r="J343" s="266">
        <f t="shared" si="29"/>
        <v>0.2569110577</v>
      </c>
      <c r="K343" s="291">
        <f t="shared" si="25"/>
        <v>256.9110577</v>
      </c>
      <c r="L343" s="268">
        <f t="shared" si="26"/>
        <v>0.6153846154</v>
      </c>
      <c r="M343" s="11">
        <f>1/COUTMAX*(E343/2-C343)*1000</f>
        <v>3.6</v>
      </c>
      <c r="N343" s="289">
        <f t="shared" si="27"/>
        <v>0.003650841346</v>
      </c>
      <c r="O343" s="11">
        <f t="shared" si="28"/>
        <v>1.35</v>
      </c>
      <c r="P343" s="11">
        <f>(A343-B343)*(Equations!$H$69*$Q$240+C343)</f>
        <v>1.661538462</v>
      </c>
      <c r="Q343" s="11">
        <f>(A343-B343)*(Equations!$H$69*$R$240+C343)</f>
        <v>1.038461538</v>
      </c>
      <c r="R343" s="11"/>
      <c r="S343" s="11"/>
      <c r="T343" s="11"/>
      <c r="U343" s="11"/>
      <c r="V343" s="11"/>
      <c r="W343" s="11"/>
      <c r="X343" s="11"/>
      <c r="Y343" s="11"/>
      <c r="Z343" s="11"/>
      <c r="AA343" s="11"/>
      <c r="AB343" s="11"/>
      <c r="AC343" s="11"/>
    </row>
    <row r="344" ht="12.0" customHeight="1">
      <c r="A344" s="11">
        <f>VINMAX</f>
        <v>30</v>
      </c>
      <c r="B344" s="292">
        <f>VINMAX*((ROW()-248)/104)</f>
        <v>27.69230769</v>
      </c>
      <c r="C344" s="267">
        <f t="shared" si="21"/>
        <v>0.2</v>
      </c>
      <c r="D344" s="262">
        <f>B240</f>
        <v>70.4</v>
      </c>
      <c r="E344" s="252">
        <f t="shared" si="22"/>
        <v>22</v>
      </c>
      <c r="F344" s="267">
        <f>Equations!$H$69+C344</f>
        <v>0.52</v>
      </c>
      <c r="G344" s="267">
        <f t="shared" si="23"/>
        <v>0.52</v>
      </c>
      <c r="H344" s="267">
        <f t="shared" si="24"/>
        <v>0.32</v>
      </c>
      <c r="I344" s="266">
        <f>(COUTMAX/1000000)*(B344-B343)/H344</f>
        <v>0.002704326923</v>
      </c>
      <c r="J344" s="266">
        <f t="shared" si="29"/>
        <v>0.2596153846</v>
      </c>
      <c r="K344" s="291">
        <f t="shared" si="25"/>
        <v>259.6153846</v>
      </c>
      <c r="L344" s="268">
        <f t="shared" si="26"/>
        <v>0.6153846154</v>
      </c>
      <c r="M344" s="11">
        <f>1/COUTMAX*(E344/2-C344)*1000</f>
        <v>3.6</v>
      </c>
      <c r="N344" s="289">
        <f t="shared" si="27"/>
        <v>0.003245192308</v>
      </c>
      <c r="O344" s="11">
        <f t="shared" si="28"/>
        <v>1.2</v>
      </c>
      <c r="P344" s="11">
        <f>(A344-B344)*(Equations!$H$69*$Q$240+C344)</f>
        <v>1.476923077</v>
      </c>
      <c r="Q344" s="11">
        <f>(A344-B344)*(Equations!$H$69*$R$240+C344)</f>
        <v>0.9230769231</v>
      </c>
      <c r="R344" s="11"/>
      <c r="S344" s="11"/>
      <c r="T344" s="11"/>
      <c r="U344" s="11"/>
      <c r="V344" s="11"/>
      <c r="W344" s="11"/>
      <c r="X344" s="11"/>
      <c r="Y344" s="11"/>
      <c r="Z344" s="11"/>
      <c r="AA344" s="11"/>
      <c r="AB344" s="11"/>
      <c r="AC344" s="11"/>
    </row>
    <row r="345" ht="12.0" customHeight="1">
      <c r="A345" s="11">
        <f>VINMAX</f>
        <v>30</v>
      </c>
      <c r="B345" s="292">
        <f>VINMAX*((ROW()-248)/104)</f>
        <v>27.98076923</v>
      </c>
      <c r="C345" s="267">
        <f t="shared" si="21"/>
        <v>0.2</v>
      </c>
      <c r="D345" s="262">
        <f>B240</f>
        <v>70.4</v>
      </c>
      <c r="E345" s="252">
        <f t="shared" si="22"/>
        <v>22</v>
      </c>
      <c r="F345" s="267">
        <f>Equations!$H$69+C345</f>
        <v>0.52</v>
      </c>
      <c r="G345" s="267">
        <f t="shared" si="23"/>
        <v>0.52</v>
      </c>
      <c r="H345" s="267">
        <f t="shared" si="24"/>
        <v>0.32</v>
      </c>
      <c r="I345" s="266">
        <f>(COUTMAX/1000000)*(B345-B344)/H345</f>
        <v>0.002704326923</v>
      </c>
      <c r="J345" s="266">
        <f t="shared" si="29"/>
        <v>0.2623197115</v>
      </c>
      <c r="K345" s="291">
        <f t="shared" si="25"/>
        <v>262.3197115</v>
      </c>
      <c r="L345" s="268">
        <f t="shared" si="26"/>
        <v>0.6153846154</v>
      </c>
      <c r="M345" s="11">
        <f>1/COUTMAX*(E345/2-C345)*1000</f>
        <v>3.6</v>
      </c>
      <c r="N345" s="289">
        <f t="shared" si="27"/>
        <v>0.002839543269</v>
      </c>
      <c r="O345" s="11">
        <f t="shared" si="28"/>
        <v>1.05</v>
      </c>
      <c r="P345" s="11">
        <f>(A345-B345)*(Equations!$H$69*$Q$240+C345)</f>
        <v>1.292307692</v>
      </c>
      <c r="Q345" s="11">
        <f>(A345-B345)*(Equations!$H$69*$R$240+C345)</f>
        <v>0.8076923077</v>
      </c>
      <c r="R345" s="11"/>
      <c r="S345" s="11"/>
      <c r="T345" s="11"/>
      <c r="U345" s="11"/>
      <c r="V345" s="11"/>
      <c r="W345" s="11"/>
      <c r="X345" s="11"/>
      <c r="Y345" s="11"/>
      <c r="Z345" s="11"/>
      <c r="AA345" s="11"/>
      <c r="AB345" s="11"/>
      <c r="AC345" s="11"/>
    </row>
    <row r="346" ht="12.0" customHeight="1">
      <c r="A346" s="11">
        <f>VINMAX</f>
        <v>30</v>
      </c>
      <c r="B346" s="292">
        <f>VINMAX*((ROW()-248)/104)</f>
        <v>28.26923077</v>
      </c>
      <c r="C346" s="267">
        <f t="shared" si="21"/>
        <v>0.2</v>
      </c>
      <c r="D346" s="262">
        <f>B240</f>
        <v>70.4</v>
      </c>
      <c r="E346" s="252">
        <f t="shared" si="22"/>
        <v>22</v>
      </c>
      <c r="F346" s="267">
        <f>Equations!$H$69+C346</f>
        <v>0.52</v>
      </c>
      <c r="G346" s="267">
        <f t="shared" si="23"/>
        <v>0.52</v>
      </c>
      <c r="H346" s="267">
        <f t="shared" si="24"/>
        <v>0.32</v>
      </c>
      <c r="I346" s="266">
        <f>(COUTMAX/1000000)*(B346-B345)/H346</f>
        <v>0.002704326923</v>
      </c>
      <c r="J346" s="266">
        <f t="shared" si="29"/>
        <v>0.2650240385</v>
      </c>
      <c r="K346" s="291">
        <f t="shared" si="25"/>
        <v>265.0240385</v>
      </c>
      <c r="L346" s="268">
        <f t="shared" si="26"/>
        <v>0.6153846154</v>
      </c>
      <c r="M346" s="11">
        <f>1/COUTMAX*(E346/2-C346)*1000</f>
        <v>3.6</v>
      </c>
      <c r="N346" s="289">
        <f t="shared" si="27"/>
        <v>0.002433894231</v>
      </c>
      <c r="O346" s="11">
        <f t="shared" si="28"/>
        <v>0.9</v>
      </c>
      <c r="P346" s="11">
        <f>(A346-B346)*(Equations!$H$69*$Q$240+C346)</f>
        <v>1.107692308</v>
      </c>
      <c r="Q346" s="11">
        <f>(A346-B346)*(Equations!$H$69*$R$240+C346)</f>
        <v>0.6923076923</v>
      </c>
      <c r="R346" s="11"/>
      <c r="S346" s="11"/>
      <c r="T346" s="11"/>
      <c r="U346" s="11"/>
      <c r="V346" s="11"/>
      <c r="W346" s="11"/>
      <c r="X346" s="11"/>
      <c r="Y346" s="11"/>
      <c r="Z346" s="11"/>
      <c r="AA346" s="11"/>
      <c r="AB346" s="11"/>
      <c r="AC346" s="11"/>
    </row>
    <row r="347" ht="12.0" customHeight="1">
      <c r="A347" s="11">
        <f>VINMAX</f>
        <v>30</v>
      </c>
      <c r="B347" s="292">
        <f>VINMAX*((ROW()-248)/104)</f>
        <v>28.55769231</v>
      </c>
      <c r="C347" s="267">
        <f t="shared" si="21"/>
        <v>0.2</v>
      </c>
      <c r="D347" s="262">
        <f>B240</f>
        <v>70.4</v>
      </c>
      <c r="E347" s="252">
        <f t="shared" si="22"/>
        <v>22</v>
      </c>
      <c r="F347" s="267">
        <f>Equations!$H$69+C347</f>
        <v>0.52</v>
      </c>
      <c r="G347" s="267">
        <f t="shared" si="23"/>
        <v>0.52</v>
      </c>
      <c r="H347" s="267">
        <f t="shared" si="24"/>
        <v>0.32</v>
      </c>
      <c r="I347" s="266">
        <f>(COUTMAX/1000000)*(B347-B346)/H347</f>
        <v>0.002704326923</v>
      </c>
      <c r="J347" s="266">
        <f t="shared" si="29"/>
        <v>0.2677283654</v>
      </c>
      <c r="K347" s="291">
        <f t="shared" si="25"/>
        <v>267.7283654</v>
      </c>
      <c r="L347" s="268">
        <f t="shared" si="26"/>
        <v>0.6153846154</v>
      </c>
      <c r="M347" s="11">
        <f>1/COUTMAX*(E347/2-C347)*1000</f>
        <v>3.6</v>
      </c>
      <c r="N347" s="289">
        <f t="shared" si="27"/>
        <v>0.002028245192</v>
      </c>
      <c r="O347" s="11">
        <f t="shared" si="28"/>
        <v>0.75</v>
      </c>
      <c r="P347" s="11">
        <f>(A347-B347)*(Equations!$H$69*$Q$240+C347)</f>
        <v>0.9230769231</v>
      </c>
      <c r="Q347" s="11">
        <f>(A347-B347)*(Equations!$H$69*$R$240+C347)</f>
        <v>0.5769230769</v>
      </c>
      <c r="R347" s="11"/>
      <c r="S347" s="11"/>
      <c r="T347" s="11"/>
      <c r="U347" s="11"/>
      <c r="V347" s="11"/>
      <c r="W347" s="11"/>
      <c r="X347" s="11"/>
      <c r="Y347" s="11"/>
      <c r="Z347" s="11"/>
      <c r="AA347" s="11"/>
      <c r="AB347" s="11"/>
      <c r="AC347" s="11"/>
    </row>
    <row r="348" ht="12.0" customHeight="1">
      <c r="A348" s="11">
        <f>VINMAX</f>
        <v>30</v>
      </c>
      <c r="B348" s="292">
        <f>VINMAX*((ROW()-248)/104)</f>
        <v>28.84615385</v>
      </c>
      <c r="C348" s="267">
        <f t="shared" si="21"/>
        <v>0.2</v>
      </c>
      <c r="D348" s="262">
        <f>B240</f>
        <v>70.4</v>
      </c>
      <c r="E348" s="252">
        <f t="shared" si="22"/>
        <v>22</v>
      </c>
      <c r="F348" s="267">
        <f>Equations!$H$69+C348</f>
        <v>0.52</v>
      </c>
      <c r="G348" s="267">
        <f t="shared" si="23"/>
        <v>0.52</v>
      </c>
      <c r="H348" s="267">
        <f t="shared" si="24"/>
        <v>0.32</v>
      </c>
      <c r="I348" s="266">
        <f>(COUTMAX/1000000)*(B348-B347)/H348</f>
        <v>0.002704326923</v>
      </c>
      <c r="J348" s="266">
        <f t="shared" si="29"/>
        <v>0.2704326923</v>
      </c>
      <c r="K348" s="291">
        <f t="shared" si="25"/>
        <v>270.4326923</v>
      </c>
      <c r="L348" s="268">
        <f t="shared" si="26"/>
        <v>0.6153846154</v>
      </c>
      <c r="M348" s="11">
        <f>1/COUTMAX*(E348/2-C348)*1000</f>
        <v>3.6</v>
      </c>
      <c r="N348" s="289">
        <f t="shared" si="27"/>
        <v>0.001622596154</v>
      </c>
      <c r="O348" s="11">
        <f t="shared" si="28"/>
        <v>0.6</v>
      </c>
      <c r="P348" s="11">
        <f>(A348-B348)*(Equations!$H$69*$Q$240+C348)</f>
        <v>0.7384615385</v>
      </c>
      <c r="Q348" s="11">
        <f>(A348-B348)*(Equations!$H$69*$R$240+C348)</f>
        <v>0.4615384615</v>
      </c>
      <c r="R348" s="11"/>
      <c r="S348" s="11"/>
      <c r="T348" s="11"/>
      <c r="U348" s="11"/>
      <c r="V348" s="11"/>
      <c r="W348" s="11"/>
      <c r="X348" s="11"/>
      <c r="Y348" s="11"/>
      <c r="Z348" s="11"/>
      <c r="AA348" s="11"/>
      <c r="AB348" s="11"/>
      <c r="AC348" s="11"/>
    </row>
    <row r="349" ht="12.0" customHeight="1">
      <c r="A349" s="11">
        <f>VINMAX</f>
        <v>30</v>
      </c>
      <c r="B349" s="292">
        <f>VINMAX*((ROW()-248)/104)</f>
        <v>29.13461538</v>
      </c>
      <c r="C349" s="267">
        <f t="shared" si="21"/>
        <v>0.2</v>
      </c>
      <c r="D349" s="262">
        <f>B240</f>
        <v>70.4</v>
      </c>
      <c r="E349" s="291">
        <f t="shared" ref="E349:E352" si="30">$C$240</f>
        <v>22</v>
      </c>
      <c r="F349" s="267">
        <f>Equations!$H$69+C349</f>
        <v>0.52</v>
      </c>
      <c r="G349" s="267">
        <f t="shared" si="23"/>
        <v>0.52</v>
      </c>
      <c r="H349" s="267">
        <f t="shared" si="24"/>
        <v>0.32</v>
      </c>
      <c r="I349" s="266">
        <f>(COUTMAX/1000000)*(B349-B348)/H349</f>
        <v>0.002704326923</v>
      </c>
      <c r="J349" s="266">
        <f t="shared" si="29"/>
        <v>0.2731370192</v>
      </c>
      <c r="K349" s="291">
        <f t="shared" si="25"/>
        <v>273.1370192</v>
      </c>
      <c r="L349" s="268">
        <f t="shared" si="26"/>
        <v>0.6153846154</v>
      </c>
      <c r="M349" s="11">
        <f>1/COUTMAX*(E349/2-C349)*1000</f>
        <v>3.6</v>
      </c>
      <c r="N349" s="289">
        <f t="shared" si="27"/>
        <v>0.001216947115</v>
      </c>
      <c r="O349" s="11">
        <f t="shared" si="28"/>
        <v>0.45</v>
      </c>
      <c r="P349" s="11">
        <f>(A349-B349)*(Equations!$H$69*$Q$240+C349)</f>
        <v>0.5538461538</v>
      </c>
      <c r="Q349" s="11">
        <f>(A349-B349)*(Equations!$H$69*$R$240+C349)</f>
        <v>0.3461538462</v>
      </c>
      <c r="R349" s="11"/>
      <c r="S349" s="11"/>
      <c r="T349" s="11"/>
      <c r="U349" s="11"/>
      <c r="V349" s="11"/>
      <c r="W349" s="11"/>
      <c r="X349" s="11"/>
      <c r="Y349" s="11"/>
      <c r="Z349" s="11"/>
      <c r="AA349" s="11"/>
      <c r="AB349" s="11"/>
      <c r="AC349" s="11"/>
    </row>
    <row r="350" ht="12.0" customHeight="1">
      <c r="A350" s="11">
        <f>VINMAX</f>
        <v>30</v>
      </c>
      <c r="B350" s="292">
        <f>VINMAX*((ROW()-248)/104)</f>
        <v>29.42307692</v>
      </c>
      <c r="C350" s="267">
        <f t="shared" si="21"/>
        <v>0.2</v>
      </c>
      <c r="D350" s="262">
        <f>B240</f>
        <v>70.4</v>
      </c>
      <c r="E350" s="291">
        <f t="shared" si="30"/>
        <v>22</v>
      </c>
      <c r="F350" s="267">
        <f>Equations!$H$69+C350</f>
        <v>0.52</v>
      </c>
      <c r="G350" s="267">
        <f t="shared" si="23"/>
        <v>0.52</v>
      </c>
      <c r="H350" s="267">
        <f t="shared" si="24"/>
        <v>0.32</v>
      </c>
      <c r="I350" s="266">
        <f>(COUTMAX/1000000)*(B350-B349)/H350</f>
        <v>0.002704326923</v>
      </c>
      <c r="J350" s="266">
        <f t="shared" si="29"/>
        <v>0.2758413462</v>
      </c>
      <c r="K350" s="291">
        <f t="shared" si="25"/>
        <v>275.8413462</v>
      </c>
      <c r="L350" s="268">
        <f t="shared" si="26"/>
        <v>0.6153846154</v>
      </c>
      <c r="M350" s="11">
        <f>1/COUTMAX*(E350/2-C350)*1000</f>
        <v>3.6</v>
      </c>
      <c r="N350" s="289">
        <f t="shared" si="27"/>
        <v>0.0008112980769</v>
      </c>
      <c r="O350" s="11">
        <f t="shared" si="28"/>
        <v>0.3</v>
      </c>
      <c r="P350" s="11">
        <f>(A350-B350)*(Equations!$H$69*$Q$240+C350)</f>
        <v>0.3692307692</v>
      </c>
      <c r="Q350" s="11">
        <f>(A350-B350)*(Equations!$H$69*$R$240+C350)</f>
        <v>0.2307692308</v>
      </c>
      <c r="R350" s="11"/>
      <c r="S350" s="11"/>
      <c r="T350" s="11"/>
      <c r="U350" s="11"/>
      <c r="V350" s="11"/>
      <c r="W350" s="11"/>
      <c r="X350" s="11"/>
      <c r="Y350" s="11"/>
      <c r="Z350" s="11"/>
      <c r="AA350" s="11"/>
      <c r="AB350" s="11"/>
      <c r="AC350" s="11"/>
    </row>
    <row r="351" ht="12.0" customHeight="1">
      <c r="A351" s="11">
        <f>VINMAX</f>
        <v>30</v>
      </c>
      <c r="B351" s="292">
        <f>VINMAX*((ROW()-248)/104)</f>
        <v>29.71153846</v>
      </c>
      <c r="C351" s="267">
        <f t="shared" si="21"/>
        <v>0.2</v>
      </c>
      <c r="D351" s="262">
        <f>B240</f>
        <v>70.4</v>
      </c>
      <c r="E351" s="291">
        <f t="shared" si="30"/>
        <v>22</v>
      </c>
      <c r="F351" s="267">
        <f>Equations!$H$69+C351</f>
        <v>0.52</v>
      </c>
      <c r="G351" s="267">
        <f t="shared" si="23"/>
        <v>0.52</v>
      </c>
      <c r="H351" s="267">
        <f t="shared" si="24"/>
        <v>0.32</v>
      </c>
      <c r="I351" s="266">
        <f>(COUTMAX/1000000)*(B351-B350)/H351</f>
        <v>0.002704326923</v>
      </c>
      <c r="J351" s="266">
        <f t="shared" si="29"/>
        <v>0.2785456731</v>
      </c>
      <c r="K351" s="291">
        <f t="shared" si="25"/>
        <v>278.5456731</v>
      </c>
      <c r="L351" s="268">
        <f t="shared" si="26"/>
        <v>0.6153846154</v>
      </c>
      <c r="M351" s="11">
        <f>1/COUTMAX*(E351/2-C351)*1000</f>
        <v>3.6</v>
      </c>
      <c r="N351" s="289">
        <f t="shared" si="27"/>
        <v>0.0004056490385</v>
      </c>
      <c r="O351" s="11">
        <f t="shared" si="28"/>
        <v>0.15</v>
      </c>
      <c r="P351" s="11">
        <f>(A351-B351)*(Equations!$H$69*$Q$240+C351)</f>
        <v>0.1846153846</v>
      </c>
      <c r="Q351" s="11">
        <f>(A351-B351)*(Equations!$H$69*$R$240+C351)</f>
        <v>0.1153846154</v>
      </c>
      <c r="R351" s="11"/>
      <c r="S351" s="11"/>
      <c r="T351" s="11"/>
      <c r="U351" s="11"/>
      <c r="V351" s="11"/>
      <c r="W351" s="11"/>
      <c r="X351" s="11"/>
      <c r="Y351" s="11"/>
      <c r="Z351" s="11"/>
      <c r="AA351" s="11"/>
      <c r="AB351" s="11"/>
      <c r="AC351" s="11"/>
    </row>
    <row r="352" ht="12.0" customHeight="1">
      <c r="A352" s="11">
        <f>VINMAX</f>
        <v>30</v>
      </c>
      <c r="B352" s="292">
        <f>VINMAX*((ROW()-248)/104)</f>
        <v>30</v>
      </c>
      <c r="C352" s="267">
        <f t="shared" si="21"/>
        <v>0.2</v>
      </c>
      <c r="D352" s="262">
        <f>B240</f>
        <v>70.4</v>
      </c>
      <c r="E352" s="291">
        <f t="shared" si="30"/>
        <v>22</v>
      </c>
      <c r="F352" s="267">
        <f>Equations!$H$69+C352</f>
        <v>0.52</v>
      </c>
      <c r="G352" s="267">
        <f t="shared" si="23"/>
        <v>0.52</v>
      </c>
      <c r="H352" s="267">
        <f t="shared" si="24"/>
        <v>0.32</v>
      </c>
      <c r="I352" s="266">
        <f>(COUTMAX/1000000)*(B352-B351)/H352</f>
        <v>0.002704326923</v>
      </c>
      <c r="J352" s="266">
        <f t="shared" si="29"/>
        <v>0.28125</v>
      </c>
      <c r="K352" s="291">
        <f t="shared" si="25"/>
        <v>281.25</v>
      </c>
      <c r="L352" s="268">
        <f t="shared" si="26"/>
        <v>0.6153846154</v>
      </c>
      <c r="M352" s="11">
        <f>1/COUTMAX*(E352/2-C352)*1000</f>
        <v>3.6</v>
      </c>
      <c r="N352" s="289">
        <f t="shared" si="27"/>
        <v>0</v>
      </c>
      <c r="O352" s="11">
        <f t="shared" si="28"/>
        <v>0</v>
      </c>
      <c r="P352" s="11">
        <f>(A352-B352)*(Equations!$H$69*$Q$240+C352)</f>
        <v>0</v>
      </c>
      <c r="Q352" s="11">
        <f>(A352-B352)*(Equations!$H$69*$R$240+C352)</f>
        <v>0</v>
      </c>
      <c r="R352" s="11"/>
      <c r="S352" s="11"/>
      <c r="T352" s="11"/>
      <c r="U352" s="11"/>
      <c r="V352" s="11"/>
      <c r="W352" s="11"/>
      <c r="X352" s="11"/>
      <c r="Y352" s="11"/>
      <c r="Z352" s="11"/>
      <c r="AA352" s="11"/>
      <c r="AB352" s="11"/>
      <c r="AC352" s="11"/>
    </row>
    <row r="353" ht="12.0" customHeight="1">
      <c r="A353" s="11"/>
      <c r="B353" s="11"/>
      <c r="C353" s="11"/>
      <c r="D353" s="11"/>
      <c r="E353" s="11"/>
      <c r="F353" s="11"/>
      <c r="G353" s="11"/>
      <c r="H353" s="11"/>
      <c r="I353" s="11"/>
      <c r="J353" s="11"/>
      <c r="K353" s="288">
        <f>K352+0.5</f>
        <v>281.75</v>
      </c>
      <c r="L353" s="11"/>
      <c r="M353" s="11"/>
      <c r="N353" s="11">
        <v>0.0</v>
      </c>
      <c r="O353" s="11">
        <v>0.0</v>
      </c>
      <c r="P353" s="11"/>
      <c r="Q353" s="11"/>
      <c r="R353" s="11"/>
      <c r="S353" s="11"/>
      <c r="T353" s="11"/>
      <c r="U353" s="11"/>
      <c r="V353" s="11"/>
      <c r="W353" s="11"/>
      <c r="X353" s="11"/>
      <c r="Y353" s="11"/>
      <c r="Z353" s="11"/>
      <c r="AA353" s="11"/>
      <c r="AB353" s="11"/>
      <c r="AC353" s="11"/>
    </row>
    <row r="354" ht="12.0"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row>
    <row r="355" ht="12.0"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row>
    <row r="356" ht="12.0"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row>
    <row r="357" ht="12.0"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row>
    <row r="358" ht="12.0"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row>
    <row r="359" ht="12.0"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row>
    <row r="360" ht="12.0"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row>
    <row r="361" ht="12.0"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row>
    <row r="362" ht="12.0"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row>
    <row r="363" ht="12.0"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row>
    <row r="364" ht="12.0"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row>
    <row r="365" ht="12.0"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row>
    <row r="366" ht="12.0"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row>
    <row r="367" ht="12.0"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row>
    <row r="368" ht="12.0"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row>
    <row r="369" ht="12.0"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row>
    <row r="370" ht="12.0"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row>
    <row r="371" ht="12.0"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row>
    <row r="372" ht="12.0"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row>
    <row r="373" ht="12.0"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row>
    <row r="374" ht="12.0"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row>
    <row r="375" ht="12.0"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row>
    <row r="376" ht="12.0"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row>
    <row r="377" ht="12.0"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row>
    <row r="378" ht="12.0"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row>
    <row r="379" ht="12.0"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row>
    <row r="380" ht="12.0"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row>
    <row r="381" ht="12.0"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row>
    <row r="382" ht="12.0"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row>
    <row r="383" ht="12.0"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row>
    <row r="384" ht="12.0"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row>
    <row r="385" ht="12.0"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row>
    <row r="386" ht="12.0"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row>
    <row r="387" ht="12.0"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row>
    <row r="388" ht="12.0"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row>
    <row r="389" ht="12.0"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row>
    <row r="390" ht="12.0"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row>
    <row r="391" ht="12.0"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row>
    <row r="392" ht="12.0"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row>
    <row r="393" ht="12.0"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row>
    <row r="394" ht="12.0"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row>
    <row r="395" ht="12.0"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row>
    <row r="396" ht="12.0"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row>
    <row r="397" ht="12.0"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row>
    <row r="398" ht="12.0"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row>
    <row r="399" ht="12.0"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row>
    <row r="400" ht="12.0"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row>
    <row r="401" ht="12.0"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row>
    <row r="402" ht="12.0"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row>
    <row r="403" ht="12.0"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row>
    <row r="404" ht="12.0"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row>
    <row r="405" ht="12.0"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row>
    <row r="406" ht="12.0"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row>
    <row r="407" ht="12.0"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row>
    <row r="408" ht="12.0"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row>
    <row r="409" ht="12.0"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row>
    <row r="410" ht="12.0"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row>
    <row r="411" ht="12.0"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row>
    <row r="412" ht="12.0"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row>
    <row r="413" ht="12.0"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row>
    <row r="414" ht="12.0"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row>
    <row r="415" ht="12.0"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row>
    <row r="416" ht="12.0"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row>
    <row r="417" ht="12.0"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row>
    <row r="418" ht="12.0"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row>
    <row r="419" ht="12.0"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row>
    <row r="420" ht="12.0"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row>
    <row r="421" ht="12.0"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row>
    <row r="422" ht="12.0"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row>
    <row r="423" ht="12.0"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row>
    <row r="424" ht="12.0"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row>
    <row r="425" ht="12.0"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row>
    <row r="426" ht="12.0"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row>
    <row r="427" ht="12.0"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row>
    <row r="428" ht="12.0"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row>
    <row r="429" ht="12.0"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row>
    <row r="430" ht="12.0"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row>
    <row r="431" ht="12.0"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row>
    <row r="432" ht="12.0"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row>
    <row r="433" ht="12.0"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row>
    <row r="434" ht="12.0"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row>
    <row r="435" ht="12.0"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row>
    <row r="436" ht="12.0"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row>
    <row r="437" ht="12.0"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row>
    <row r="438" ht="12.0"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row>
    <row r="439" ht="12.0"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row>
    <row r="440" ht="12.0"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row>
    <row r="441" ht="12.0"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row>
    <row r="442" ht="12.0"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row>
    <row r="443" ht="12.0"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row>
    <row r="444" ht="12.0"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row>
    <row r="445" ht="12.0"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row>
    <row r="446" ht="12.0"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row>
    <row r="447" ht="12.0"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row>
    <row r="448" ht="12.0"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row>
    <row r="449" ht="12.0"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row>
    <row r="450" ht="12.0"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row>
    <row r="451" ht="12.0"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row>
    <row r="452" ht="12.0"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row>
    <row r="453" ht="12.0"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row>
    <row r="454" ht="12.0"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row>
    <row r="455" ht="12.0"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row>
    <row r="456" ht="12.0"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row>
    <row r="457" ht="12.0"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row>
    <row r="458" ht="12.0"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row>
    <row r="459" ht="12.0"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row>
    <row r="460" ht="12.0"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row>
    <row r="461" ht="12.0"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row>
    <row r="462" ht="12.0"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row>
    <row r="463" ht="12.0"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row>
    <row r="464" ht="12.0"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row>
    <row r="465" ht="12.0"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row>
    <row r="466" ht="12.0"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row>
    <row r="467" ht="12.0"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row>
    <row r="468" ht="12.0"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row>
    <row r="469" ht="12.0"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row>
    <row r="470" ht="12.0"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row>
    <row r="471" ht="12.0"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row>
    <row r="472" ht="12.0"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row>
    <row r="473" ht="12.0"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row>
    <row r="474" ht="12.0"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row>
    <row r="475" ht="12.0"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row>
    <row r="476" ht="12.0"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row>
    <row r="477" ht="12.0"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row>
    <row r="478" ht="12.0"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row>
    <row r="479" ht="12.0"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row>
    <row r="480" ht="12.0"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row>
    <row r="481" ht="12.0"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row>
    <row r="482" ht="12.0"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row>
    <row r="483" ht="12.0"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row>
    <row r="484" ht="12.0"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row>
    <row r="485" ht="12.0"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row>
    <row r="486" ht="12.0"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row>
    <row r="487" ht="12.0"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row>
    <row r="488" ht="12.0"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row>
    <row r="489" ht="12.0"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row>
    <row r="490" ht="12.0"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row>
    <row r="491" ht="12.0"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row>
    <row r="492" ht="12.0"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row>
    <row r="493" ht="12.0"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row>
    <row r="494" ht="12.0"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row>
    <row r="495" ht="12.0"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row>
    <row r="496" ht="12.0"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row>
    <row r="497" ht="12.0"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row>
    <row r="498" ht="12.0"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row>
    <row r="499" ht="12.0"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row>
    <row r="500" ht="12.0"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row>
    <row r="501" ht="12.0"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row>
    <row r="502" ht="12.0"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row>
    <row r="503" ht="12.0"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row>
    <row r="504" ht="12.0"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row>
    <row r="505" ht="12.0"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row>
    <row r="506" ht="12.0"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row>
    <row r="507" ht="12.0"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row>
    <row r="508" ht="12.0"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row>
    <row r="509" ht="12.0"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row>
    <row r="510" ht="12.0"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row>
    <row r="511" ht="12.0"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row>
    <row r="512" ht="12.0"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row>
    <row r="513" ht="12.0"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row>
    <row r="514" ht="12.0"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row>
    <row r="515" ht="12.0"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row>
    <row r="516" ht="12.0"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row>
    <row r="517" ht="12.0"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row>
    <row r="518" ht="12.0"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row>
    <row r="519" ht="12.0"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row>
    <row r="520" ht="12.0"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row>
    <row r="521" ht="12.0"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row>
    <row r="522" ht="12.0"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row>
    <row r="523" ht="12.0"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row>
    <row r="524" ht="12.0"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row>
    <row r="525" ht="12.0"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row>
    <row r="526" ht="12.0"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row>
    <row r="527" ht="12.0"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row>
    <row r="528" ht="12.0"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row>
    <row r="529" ht="12.0"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row>
    <row r="530" ht="12.0"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row>
    <row r="531" ht="12.0"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row>
    <row r="532" ht="12.0"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row>
    <row r="533" ht="12.0"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row>
    <row r="534" ht="12.0"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row>
    <row r="535" ht="12.0"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row>
    <row r="536" ht="12.0"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row>
    <row r="537" ht="12.0"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row>
    <row r="538" ht="12.0"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row>
    <row r="539" ht="12.0"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row>
    <row r="540" ht="12.0"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row>
    <row r="541" ht="12.0"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row>
    <row r="542" ht="12.0"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row>
    <row r="543" ht="12.0"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row>
    <row r="544" ht="12.0"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row>
    <row r="545" ht="12.0"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row>
    <row r="546" ht="12.0"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row>
    <row r="547" ht="12.0"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row>
    <row r="548" ht="12.0"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row>
    <row r="549" ht="12.0"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row>
    <row r="550" ht="12.0"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row>
    <row r="551" ht="12.0"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row>
    <row r="552" ht="12.0"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row>
    <row r="553" ht="12.0"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row>
    <row r="554" ht="12.0"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row>
    <row r="555" ht="12.0"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row>
    <row r="556" ht="12.0"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row>
    <row r="557" ht="12.0"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row>
    <row r="558" ht="12.0"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row>
    <row r="559" ht="12.0"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row>
    <row r="560" ht="12.0"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row>
    <row r="561" ht="12.0"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row>
    <row r="562" ht="12.0"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row>
    <row r="563" ht="12.0"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row>
    <row r="564" ht="12.0"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row>
    <row r="565" ht="12.0"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row>
    <row r="566" ht="12.0"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row>
    <row r="567" ht="12.0"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row>
    <row r="568" ht="12.0"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row>
    <row r="569" ht="12.0"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row>
    <row r="570" ht="12.0"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row>
    <row r="571" ht="12.0"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row>
    <row r="572" ht="12.0"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row>
    <row r="573" ht="12.0"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row>
    <row r="574" ht="12.0"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row>
    <row r="575" ht="12.0"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row>
    <row r="576" ht="12.0"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row>
    <row r="577" ht="12.0"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row>
    <row r="578" ht="12.0"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row>
    <row r="579" ht="12.0"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row>
    <row r="580" ht="12.0"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row>
    <row r="581" ht="12.0"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row>
    <row r="582" ht="12.0"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row>
    <row r="583" ht="12.0"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row>
    <row r="584" ht="12.0"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row>
    <row r="585" ht="12.0"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row>
    <row r="586" ht="12.0"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row>
    <row r="587" ht="12.0"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row>
    <row r="588" ht="12.0"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row>
    <row r="589" ht="12.0"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row>
    <row r="590" ht="12.0"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row>
    <row r="591" ht="12.0"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row>
    <row r="592" ht="12.0"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row>
    <row r="593" ht="12.0"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row>
    <row r="594" ht="12.0"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row>
    <row r="595" ht="12.0"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row>
    <row r="596" ht="12.0"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row>
    <row r="597" ht="12.0"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row>
    <row r="598" ht="12.0"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row>
    <row r="599" ht="12.0"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row>
    <row r="600" ht="12.0"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row>
    <row r="601" ht="12.0"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row>
    <row r="602" ht="12.0"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row>
    <row r="603" ht="12.0"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row>
    <row r="604" ht="12.0"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row>
    <row r="605" ht="12.0"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row>
    <row r="606" ht="12.0"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row>
    <row r="607" ht="12.0"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row>
    <row r="608" ht="12.0"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row>
    <row r="609" ht="12.0"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row>
    <row r="610" ht="12.0"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row>
    <row r="611" ht="12.0"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row>
    <row r="612" ht="12.0"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row>
    <row r="613" ht="12.0"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row>
    <row r="614" ht="12.0"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row>
    <row r="615" ht="12.0"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row>
    <row r="616" ht="12.0"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row>
    <row r="617" ht="12.0"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row>
    <row r="618" ht="12.0"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row>
    <row r="619" ht="12.0"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row>
    <row r="620" ht="12.0"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row>
    <row r="621" ht="12.0"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row>
    <row r="622" ht="12.0"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row>
    <row r="623" ht="12.0"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row>
    <row r="624" ht="12.0"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row>
    <row r="625" ht="12.0"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row>
    <row r="626" ht="12.0"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row>
    <row r="627" ht="12.0"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row>
    <row r="628" ht="12.0"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row>
    <row r="629" ht="12.0"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row>
    <row r="630" ht="12.0"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row>
    <row r="631" ht="12.0"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row>
    <row r="632" ht="12.0"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row>
    <row r="633" ht="12.0"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row>
    <row r="634" ht="12.0"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row>
    <row r="635" ht="12.0"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row>
    <row r="636" ht="12.0"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row>
    <row r="637" ht="12.0"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row>
    <row r="638" ht="12.0"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row>
    <row r="639" ht="12.0"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row>
    <row r="640" ht="12.0"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row>
    <row r="641" ht="12.0"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row>
    <row r="642" ht="12.0"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row>
    <row r="643" ht="12.0"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row>
    <row r="644" ht="12.0"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row>
    <row r="645" ht="12.0"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row>
    <row r="646" ht="12.0"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row>
    <row r="647" ht="12.0"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row>
    <row r="648" ht="12.0"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row>
    <row r="649" ht="12.0"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row>
    <row r="650" ht="12.0"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row>
    <row r="651" ht="12.0"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row>
    <row r="652" ht="12.0"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row>
    <row r="653" ht="12.0"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row>
    <row r="654" ht="12.0"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row>
    <row r="655" ht="12.0"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row>
    <row r="656" ht="12.0"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row>
    <row r="657" ht="12.0"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row>
    <row r="658" ht="12.0"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row>
    <row r="659" ht="12.0"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row>
    <row r="660" ht="12.0"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row>
    <row r="661" ht="12.0"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row>
    <row r="662" ht="12.0"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row>
    <row r="663" ht="12.0"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row>
    <row r="664" ht="12.0"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row>
    <row r="665" ht="12.0"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row>
    <row r="666" ht="12.0"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row>
    <row r="667" ht="12.0"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row>
    <row r="668" ht="12.0"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row>
    <row r="669" ht="12.0"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row>
    <row r="670" ht="12.0"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row>
    <row r="671" ht="12.0"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row>
    <row r="672" ht="12.0"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row>
    <row r="673" ht="12.0"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row>
    <row r="674" ht="12.0"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row>
    <row r="675" ht="12.0"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row>
    <row r="676" ht="12.0"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row>
    <row r="677" ht="12.0"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row>
    <row r="678" ht="12.0"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row>
    <row r="679" ht="12.0"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row>
    <row r="680" ht="12.0"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row>
    <row r="681" ht="12.0"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row>
    <row r="682" ht="12.0"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row>
    <row r="683" ht="12.0"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row>
    <row r="684" ht="12.0"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row>
    <row r="685" ht="12.0"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row>
    <row r="686" ht="12.0"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row>
    <row r="687" ht="12.0"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row>
    <row r="688" ht="12.0"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row>
    <row r="689" ht="12.0"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row>
    <row r="690" ht="12.0"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row>
    <row r="691" ht="12.0"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row>
    <row r="692" ht="12.0"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row>
    <row r="693" ht="12.0"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row>
    <row r="694" ht="12.0"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row>
    <row r="695" ht="12.0"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row>
    <row r="696" ht="12.0"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row>
    <row r="697" ht="12.0"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row>
    <row r="698" ht="12.0"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row>
    <row r="699" ht="12.0"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row>
    <row r="700" ht="12.0"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row>
    <row r="701" ht="12.0"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row>
    <row r="702" ht="12.0"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row>
    <row r="703" ht="12.0"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row>
    <row r="704" ht="12.0"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row>
    <row r="705" ht="12.0"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row>
    <row r="706" ht="12.0"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row>
    <row r="707" ht="12.0"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row>
    <row r="708" ht="12.0"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row>
    <row r="709" ht="12.0"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row>
    <row r="710" ht="12.0"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row>
    <row r="711" ht="12.0"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row>
    <row r="712" ht="12.0"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row>
    <row r="713" ht="12.0"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row>
    <row r="714" ht="12.0"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row>
    <row r="715" ht="12.0"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row>
    <row r="716" ht="12.0"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row>
    <row r="717" ht="12.0"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row>
    <row r="718" ht="12.0"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row>
    <row r="719" ht="12.0"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row>
    <row r="720" ht="12.0"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row>
    <row r="721" ht="12.0"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row>
    <row r="722" ht="12.0"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row>
    <row r="723" ht="12.0"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row>
    <row r="724" ht="12.0"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row>
    <row r="725" ht="12.0"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row>
    <row r="726" ht="12.0"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row>
    <row r="727" ht="12.0"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row>
    <row r="728" ht="12.0"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row>
    <row r="729" ht="12.0"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row>
    <row r="730" ht="12.0"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row>
    <row r="731" ht="12.0"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row>
    <row r="732" ht="12.0"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row>
    <row r="733" ht="12.0"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row>
    <row r="734" ht="12.0"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row>
    <row r="735" ht="12.0"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row>
    <row r="736" ht="12.0"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row>
    <row r="737" ht="12.0"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row>
    <row r="738" ht="12.0"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row>
    <row r="739" ht="12.0"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row>
    <row r="740" ht="12.0"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row>
    <row r="741" ht="12.0"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row>
    <row r="742" ht="12.0"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row>
    <row r="743" ht="12.0"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row>
    <row r="744" ht="12.0"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row>
    <row r="745" ht="12.0"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row>
    <row r="746" ht="12.0"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row>
    <row r="747" ht="12.0"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row>
    <row r="748" ht="12.0"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row>
    <row r="749" ht="12.0"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row>
    <row r="750" ht="12.0"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row>
    <row r="751" ht="12.0"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row>
    <row r="752" ht="12.0"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row>
    <row r="753" ht="12.0"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row>
    <row r="754" ht="12.0"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row>
    <row r="755" ht="12.0"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row>
    <row r="756" ht="12.0"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row>
    <row r="757" ht="12.0"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row>
    <row r="758" ht="12.0"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row>
    <row r="759" ht="12.0"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row>
    <row r="760" ht="12.0"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row>
    <row r="761" ht="12.0"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row>
    <row r="762" ht="12.0"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row>
    <row r="763" ht="12.0"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row>
    <row r="764" ht="12.0"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row>
    <row r="765" ht="12.0"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row>
    <row r="766" ht="12.0"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row>
    <row r="767" ht="12.0"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row>
    <row r="768" ht="12.0"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row>
    <row r="769" ht="12.0"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row>
    <row r="770" ht="12.0"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row>
    <row r="771" ht="12.0"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row>
    <row r="772" ht="12.0"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row>
    <row r="773" ht="12.0"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row>
    <row r="774" ht="12.0"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row>
    <row r="775" ht="12.0"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row>
    <row r="776" ht="12.0"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row>
    <row r="777" ht="12.0"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row>
    <row r="778" ht="12.0"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row>
    <row r="779" ht="12.0"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row>
    <row r="780" ht="12.0"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row>
    <row r="781" ht="12.0"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row>
    <row r="782" ht="12.0"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row>
    <row r="783" ht="12.0"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row>
    <row r="784" ht="12.0"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row>
    <row r="785" ht="12.0"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row>
    <row r="786" ht="12.0"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row>
    <row r="787" ht="12.0"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row>
    <row r="788" ht="12.0"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row>
    <row r="789" ht="12.0"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row>
    <row r="790" ht="12.0"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row>
    <row r="791" ht="12.0"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row>
    <row r="792" ht="12.0"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row>
    <row r="793" ht="12.0"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row>
    <row r="794" ht="12.0"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row>
    <row r="795" ht="12.0"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row>
    <row r="796" ht="12.0"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row>
    <row r="797" ht="12.0"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row>
    <row r="798" ht="12.0"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row>
    <row r="799" ht="12.0"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row>
    <row r="800" ht="12.0"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row>
    <row r="801" ht="12.0"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row>
    <row r="802" ht="12.0"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row>
    <row r="803" ht="12.0"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row>
    <row r="804" ht="12.0"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row>
    <row r="805" ht="12.0"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row>
    <row r="806" ht="12.0"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row>
    <row r="807" ht="12.0"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row>
    <row r="808" ht="12.0"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row>
    <row r="809" ht="12.0"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row>
    <row r="810" ht="12.0"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row>
    <row r="811" ht="12.0"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row>
    <row r="812" ht="12.0"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row>
    <row r="813" ht="12.0"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row>
    <row r="814" ht="12.0"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row>
    <row r="815" ht="12.0"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row>
    <row r="816" ht="12.0"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row>
    <row r="817" ht="12.0"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row>
    <row r="818" ht="12.0"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row>
    <row r="819" ht="12.0"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row>
    <row r="820" ht="12.0"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row>
    <row r="821" ht="12.0"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row>
    <row r="822" ht="12.0"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row>
    <row r="823" ht="12.0"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row>
    <row r="824" ht="12.0"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row>
    <row r="825" ht="12.0"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row>
    <row r="826" ht="12.0"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row>
    <row r="827" ht="12.0"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row>
    <row r="828" ht="12.0"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row>
    <row r="829" ht="12.0"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row>
    <row r="830" ht="12.0"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row>
    <row r="831" ht="12.0"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row>
    <row r="832" ht="12.0"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row>
    <row r="833" ht="12.0"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row>
    <row r="834" ht="12.0"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row>
    <row r="835" ht="12.0"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row>
    <row r="836" ht="12.0"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row>
    <row r="837" ht="12.0"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row>
    <row r="838" ht="12.0"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row>
    <row r="839" ht="12.0"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row>
    <row r="840" ht="12.0"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row>
    <row r="841" ht="12.0"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row>
    <row r="842" ht="12.0"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row>
    <row r="843" ht="12.0"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row>
    <row r="844" ht="12.0"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row>
    <row r="845" ht="12.0"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row>
    <row r="846" ht="12.0"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row>
    <row r="847" ht="12.0"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row>
    <row r="848" ht="12.0"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row>
    <row r="849" ht="12.0"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row>
    <row r="850" ht="12.0"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row>
    <row r="851" ht="12.0"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row>
    <row r="852" ht="12.0"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row>
    <row r="853" ht="12.0"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row>
    <row r="854" ht="12.0"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row>
    <row r="855" ht="12.0"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row>
    <row r="856" ht="12.0"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row>
    <row r="857" ht="12.0"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row>
    <row r="858" ht="12.0"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row>
    <row r="859" ht="12.0"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row>
    <row r="860" ht="12.0"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row>
    <row r="861" ht="12.0"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row>
    <row r="862" ht="12.0"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row>
    <row r="863" ht="12.0"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row>
    <row r="864" ht="12.0"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row>
    <row r="865" ht="12.0"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row>
    <row r="866" ht="12.0"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row>
    <row r="867" ht="12.0"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row>
    <row r="868" ht="12.0"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row>
    <row r="869" ht="12.0"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row>
    <row r="870" ht="12.0"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row>
    <row r="871" ht="12.0"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row>
    <row r="872" ht="12.0"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row>
    <row r="873" ht="12.0"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row>
    <row r="874" ht="12.0"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row>
    <row r="875" ht="12.0"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row>
    <row r="876" ht="12.0"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row>
    <row r="877" ht="12.0"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row>
    <row r="878" ht="12.0"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row>
    <row r="879" ht="12.0"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row>
    <row r="880" ht="12.0"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row>
    <row r="881" ht="12.0"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row>
    <row r="882" ht="12.0"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row>
    <row r="883" ht="12.0"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row>
    <row r="884" ht="12.0"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row>
    <row r="885" ht="12.0"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row>
    <row r="886" ht="12.0"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row>
    <row r="887" ht="12.0"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row>
    <row r="888" ht="12.0"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row>
    <row r="889" ht="12.0"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row>
    <row r="890" ht="12.0"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row>
    <row r="891" ht="12.0"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row>
    <row r="892" ht="12.0"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row>
    <row r="893" ht="12.0"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row>
    <row r="894" ht="12.0"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row>
    <row r="895" ht="12.0"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row>
    <row r="896" ht="12.0"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row>
    <row r="897" ht="12.0"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row>
    <row r="898" ht="12.0"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row>
    <row r="899" ht="12.0"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row>
    <row r="900" ht="12.0"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row>
    <row r="901" ht="12.0"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row>
    <row r="902" ht="12.0"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row>
    <row r="903" ht="12.0"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row>
    <row r="904" ht="12.0"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row>
    <row r="905" ht="12.0"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row>
    <row r="906" ht="12.0"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row>
    <row r="907" ht="12.0"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row>
    <row r="908" ht="12.0"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row>
    <row r="909" ht="12.0"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row>
    <row r="910" ht="12.0"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row>
    <row r="911" ht="12.0"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row>
    <row r="912" ht="12.0"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row>
    <row r="913" ht="12.0"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row>
    <row r="914" ht="12.0"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row>
    <row r="915" ht="12.0"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row>
    <row r="916" ht="12.0"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row>
    <row r="917" ht="12.0"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row>
    <row r="918" ht="12.0"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row>
    <row r="919" ht="12.0"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row>
    <row r="920" ht="12.0"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row>
    <row r="921" ht="12.0"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row>
    <row r="922" ht="12.0"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row>
    <row r="923" ht="12.0"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row>
    <row r="924" ht="12.0"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row>
    <row r="925" ht="12.0"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row>
    <row r="926" ht="12.0"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row>
    <row r="927" ht="12.0"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row>
    <row r="928" ht="12.0"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row>
    <row r="929" ht="12.0"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row>
    <row r="930" ht="12.0"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row>
    <row r="931" ht="12.0"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row>
    <row r="932" ht="12.0"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row>
    <row r="933" ht="12.0"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row>
    <row r="934" ht="12.0"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row>
    <row r="935" ht="12.0"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row>
    <row r="936" ht="12.0"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row>
    <row r="937" ht="12.0"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row>
    <row r="938" ht="12.0"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row>
    <row r="939" ht="12.0"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row>
    <row r="940" ht="12.0"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row>
    <row r="941" ht="12.0"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row>
    <row r="942" ht="12.0"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row>
    <row r="943" ht="12.0"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row>
    <row r="944" ht="12.0"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row>
    <row r="945" ht="12.0"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row>
    <row r="946" ht="12.0"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row>
    <row r="947" ht="12.0"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row>
    <row r="948" ht="12.0"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row>
    <row r="949" ht="12.0"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row>
    <row r="950" ht="12.0"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row>
    <row r="951" ht="12.0"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row>
    <row r="952" ht="12.0"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row>
    <row r="953" ht="12.0"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row>
    <row r="954" ht="12.0"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row>
    <row r="955" ht="12.0"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row>
    <row r="956" ht="12.0"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row>
    <row r="957" ht="12.0"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row>
    <row r="958" ht="12.0"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row>
    <row r="959" ht="12.0"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row>
    <row r="960" ht="12.0"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row>
    <row r="961" ht="12.0"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row>
    <row r="962" ht="12.0"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row>
    <row r="963" ht="12.0"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row>
    <row r="964" ht="12.0"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row>
    <row r="965" ht="12.0"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row>
    <row r="966" ht="12.0"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row>
    <row r="967" ht="12.0"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row>
    <row r="968" ht="12.0"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row>
    <row r="969" ht="12.0"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row>
    <row r="970" ht="12.0"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row>
    <row r="971" ht="12.0"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row>
    <row r="972" ht="12.0"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row>
    <row r="973" ht="12.0"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row>
    <row r="974" ht="12.0"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row>
    <row r="975" ht="12.0"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row>
    <row r="976" ht="12.0"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row>
    <row r="977" ht="12.0"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row>
    <row r="978" ht="12.0"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row>
    <row r="979" ht="12.0"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row>
    <row r="980" ht="12.0"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row>
    <row r="981" ht="12.0"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row>
    <row r="982" ht="12.0"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row>
    <row r="983" ht="12.0"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row>
    <row r="984" ht="12.0"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row>
    <row r="985" ht="12.0"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row>
    <row r="986" ht="12.0"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row>
    <row r="987" ht="12.0"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row>
    <row r="988" ht="12.0"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row>
    <row r="989" ht="12.0"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row>
    <row r="990" ht="12.0"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row>
    <row r="991" ht="12.0"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row>
    <row r="992" ht="12.0"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row>
    <row r="993" ht="12.0"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row>
    <row r="994" ht="12.0"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row>
    <row r="995" ht="12.0"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row>
    <row r="996" ht="12.0"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row>
    <row r="997" ht="12.0"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row>
    <row r="998" ht="12.0"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row>
    <row r="999" ht="12.0"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row>
    <row r="1000" ht="12.0"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row>
  </sheetData>
  <mergeCells count="2">
    <mergeCell ref="X12:Y12"/>
    <mergeCell ref="X131:Y131"/>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71"/>
    <col customWidth="1" min="2" max="2" width="17.29"/>
    <col customWidth="1" min="3" max="3" width="15.71"/>
    <col customWidth="1" min="4" max="4" width="12.43"/>
    <col customWidth="1" min="5" max="5" width="14.57"/>
    <col customWidth="1" min="6" max="6" width="14.0"/>
    <col customWidth="1" min="7" max="7" width="31.57"/>
    <col customWidth="1" min="8" max="8" width="20.0"/>
    <col customWidth="1" min="9" max="12" width="8.71"/>
    <col customWidth="1" min="13" max="13" width="12.86"/>
    <col customWidth="1" min="14" max="14" width="8.71"/>
    <col customWidth="1" min="15" max="15" width="17.29"/>
    <col customWidth="1" min="16" max="16" width="8.71"/>
    <col customWidth="1" min="17" max="17" width="13.29"/>
    <col customWidth="1" min="18" max="18" width="16.86"/>
    <col customWidth="1" min="19" max="19" width="8.71"/>
    <col customWidth="1" min="20" max="20" width="13.0"/>
    <col customWidth="1" min="21" max="21" width="10.14"/>
    <col customWidth="1" min="22" max="26" width="8.71"/>
  </cols>
  <sheetData>
    <row r="1" ht="12.0" customHeight="1">
      <c r="A1" s="11"/>
      <c r="B1" s="11"/>
      <c r="C1" s="11"/>
      <c r="D1" s="11"/>
      <c r="E1" s="11"/>
      <c r="F1" s="11"/>
      <c r="G1" s="11"/>
      <c r="H1" s="11"/>
      <c r="I1" s="11"/>
      <c r="J1" s="11"/>
      <c r="K1" s="11"/>
      <c r="L1" s="11"/>
      <c r="M1" s="11"/>
      <c r="N1" s="11"/>
      <c r="O1" s="11"/>
      <c r="P1" s="11"/>
      <c r="Q1" s="11"/>
      <c r="R1" s="11"/>
      <c r="S1" s="11"/>
      <c r="T1" s="11"/>
      <c r="U1" s="11"/>
      <c r="V1" s="11"/>
      <c r="W1" s="11"/>
      <c r="X1" s="11"/>
      <c r="Y1" s="11"/>
      <c r="Z1" s="11"/>
    </row>
    <row r="2" ht="12.0" customHeight="1">
      <c r="A2" s="11"/>
      <c r="B2" s="11"/>
      <c r="C2" s="11"/>
      <c r="D2" s="11"/>
      <c r="E2" s="11"/>
      <c r="F2" s="11"/>
      <c r="G2" s="11"/>
      <c r="H2" s="11"/>
      <c r="I2" s="11"/>
      <c r="J2" s="11"/>
      <c r="K2" s="11"/>
      <c r="L2" s="11"/>
      <c r="M2" s="11"/>
      <c r="N2" s="11"/>
      <c r="O2" s="11"/>
      <c r="P2" s="11"/>
      <c r="Q2" s="11"/>
      <c r="R2" s="11"/>
      <c r="S2" s="11"/>
      <c r="T2" s="11"/>
      <c r="U2" s="11"/>
      <c r="V2" s="11"/>
      <c r="W2" s="11"/>
      <c r="X2" s="11"/>
      <c r="Y2" s="11"/>
      <c r="Z2" s="11"/>
    </row>
    <row r="3" ht="30.0" customHeight="1">
      <c r="A3" s="296" t="s">
        <v>796</v>
      </c>
      <c r="B3" s="11"/>
      <c r="C3" s="11"/>
      <c r="D3" s="11"/>
      <c r="E3" s="11"/>
      <c r="F3" s="11"/>
      <c r="G3" s="11"/>
      <c r="H3" s="11"/>
      <c r="I3" s="11"/>
      <c r="J3" s="11"/>
      <c r="K3" s="11"/>
      <c r="L3" s="11"/>
      <c r="M3" s="11"/>
      <c r="N3" s="11"/>
      <c r="O3" s="11"/>
      <c r="P3" s="11"/>
      <c r="Q3" s="11"/>
      <c r="R3" s="11"/>
      <c r="S3" s="11"/>
      <c r="T3" s="11"/>
      <c r="U3" s="11"/>
      <c r="V3" s="11"/>
      <c r="W3" s="11"/>
      <c r="X3" s="11"/>
      <c r="Y3" s="11"/>
      <c r="Z3" s="11"/>
    </row>
    <row r="4" ht="12.0" customHeight="1">
      <c r="C4" s="11"/>
      <c r="D4" s="11"/>
      <c r="E4" s="11"/>
      <c r="F4" s="11"/>
      <c r="G4" s="11"/>
    </row>
    <row r="5" ht="12.0" customHeight="1">
      <c r="A5" s="295"/>
      <c r="B5" s="280" t="s">
        <v>797</v>
      </c>
      <c r="C5" s="297"/>
      <c r="D5" s="297"/>
      <c r="E5" s="297"/>
      <c r="F5" s="294"/>
      <c r="G5" s="252"/>
      <c r="H5" s="11" t="s">
        <v>798</v>
      </c>
      <c r="I5" s="11"/>
      <c r="J5" s="11"/>
      <c r="K5" s="11"/>
      <c r="L5" s="11"/>
      <c r="M5" s="11"/>
      <c r="N5" s="11"/>
      <c r="O5" s="252"/>
      <c r="P5" s="252"/>
      <c r="Q5" s="252"/>
      <c r="R5" s="252"/>
      <c r="S5" s="252"/>
      <c r="T5" s="252"/>
      <c r="U5" s="11"/>
      <c r="V5" s="11"/>
    </row>
    <row r="6" ht="12.0" customHeight="1">
      <c r="A6" s="295"/>
      <c r="B6" s="295" t="s">
        <v>799</v>
      </c>
      <c r="C6" s="295" t="s">
        <v>800</v>
      </c>
      <c r="D6" s="295" t="s">
        <v>801</v>
      </c>
      <c r="E6" s="295" t="s">
        <v>802</v>
      </c>
      <c r="F6" s="295" t="s">
        <v>803</v>
      </c>
      <c r="G6" s="11"/>
      <c r="H6" s="11" t="s">
        <v>804</v>
      </c>
      <c r="I6" s="252"/>
      <c r="J6" s="252"/>
      <c r="K6" s="252"/>
      <c r="L6" s="252"/>
      <c r="M6" s="252"/>
      <c r="N6" s="11"/>
      <c r="O6" s="252"/>
      <c r="P6" s="252"/>
      <c r="Q6" s="262"/>
      <c r="R6" s="262"/>
      <c r="S6" s="262"/>
      <c r="T6" s="262"/>
      <c r="U6" s="11"/>
      <c r="V6" s="11"/>
    </row>
    <row r="7" ht="21.0" customHeight="1">
      <c r="A7" s="295" t="s">
        <v>805</v>
      </c>
      <c r="B7" s="298">
        <f>'Design Calculator'!F57</f>
        <v>400</v>
      </c>
      <c r="C7" s="298">
        <f>'Design Calculator'!F58</f>
        <v>240</v>
      </c>
      <c r="D7" s="298">
        <f>'Design Calculator'!F59</f>
        <v>34.54647226</v>
      </c>
      <c r="E7" s="298">
        <f>'Design Calculator'!F60</f>
        <v>9.68788885</v>
      </c>
      <c r="F7" s="298">
        <f>'Design Calculator'!F61</f>
        <v>4.975421315</v>
      </c>
      <c r="G7" s="143"/>
      <c r="H7" s="11" t="s">
        <v>806</v>
      </c>
      <c r="I7" s="252"/>
      <c r="J7" s="252"/>
      <c r="K7" s="252"/>
      <c r="L7" s="262"/>
      <c r="M7" s="262"/>
      <c r="N7" s="11"/>
      <c r="O7" s="252"/>
      <c r="P7" s="252"/>
      <c r="Q7" s="262"/>
      <c r="R7" s="262"/>
      <c r="S7" s="262"/>
      <c r="T7" s="262"/>
      <c r="U7" s="11"/>
      <c r="V7" s="11"/>
    </row>
    <row r="8" ht="12.0" customHeight="1">
      <c r="B8" s="235" t="s">
        <v>333</v>
      </c>
      <c r="C8" s="235">
        <f>'Design Calculator'!F56</f>
        <v>175</v>
      </c>
      <c r="D8" s="299" t="s">
        <v>807</v>
      </c>
      <c r="E8" s="262"/>
      <c r="F8" s="262"/>
      <c r="G8" s="262"/>
      <c r="H8" s="11"/>
      <c r="I8" s="252"/>
      <c r="J8" s="252"/>
      <c r="K8" s="252"/>
      <c r="L8" s="262"/>
      <c r="M8" s="262"/>
      <c r="N8" s="264"/>
      <c r="Q8" s="262"/>
      <c r="R8" s="262"/>
      <c r="U8" s="11"/>
      <c r="V8" s="11"/>
    </row>
    <row r="9" ht="12.0" customHeight="1">
      <c r="A9" s="11"/>
      <c r="C9" s="252"/>
      <c r="D9" s="262"/>
      <c r="E9" s="262"/>
      <c r="F9" s="262"/>
      <c r="G9" s="262"/>
      <c r="H9" s="11"/>
      <c r="I9" s="252"/>
      <c r="J9" s="252"/>
      <c r="K9" s="252"/>
      <c r="L9" s="262"/>
      <c r="M9" s="262"/>
      <c r="N9" s="11"/>
      <c r="O9" s="11"/>
      <c r="P9" s="11"/>
      <c r="Q9" s="11"/>
      <c r="R9" s="11"/>
      <c r="S9" s="11"/>
      <c r="T9" s="11"/>
      <c r="U9" s="11"/>
      <c r="V9" s="11"/>
    </row>
    <row r="10" ht="12.0" customHeight="1">
      <c r="A10" s="11"/>
      <c r="B10" s="287" t="s">
        <v>808</v>
      </c>
      <c r="G10" s="300" t="s">
        <v>809</v>
      </c>
      <c r="H10" s="11"/>
      <c r="J10" s="264"/>
      <c r="K10" s="262"/>
      <c r="L10" s="11"/>
      <c r="M10" s="11"/>
      <c r="N10" s="11"/>
      <c r="O10" s="11"/>
      <c r="P10" s="11"/>
      <c r="Q10" s="11"/>
      <c r="R10" s="11"/>
      <c r="S10" s="11"/>
      <c r="T10" s="301"/>
      <c r="U10" s="252"/>
      <c r="V10" s="11"/>
    </row>
    <row r="11" ht="12.0" customHeight="1">
      <c r="A11" s="11"/>
      <c r="B11" s="11" t="s">
        <v>810</v>
      </c>
      <c r="C11" s="286">
        <f>IF('Design Calculator'!F30="Power Limit", 'Design Calculator'!$F$84,'Design Calculator'!F97)</f>
        <v>1.035294118</v>
      </c>
      <c r="D11" s="11" t="s">
        <v>77</v>
      </c>
      <c r="G11" s="11" t="s">
        <v>810</v>
      </c>
      <c r="H11" s="302">
        <f>Equations!F73</f>
        <v>139.2728365</v>
      </c>
      <c r="I11" s="11" t="s">
        <v>77</v>
      </c>
      <c r="J11" s="252"/>
      <c r="K11" s="262"/>
      <c r="L11" s="11"/>
      <c r="M11" s="11"/>
      <c r="N11" s="11"/>
      <c r="O11" s="11"/>
      <c r="P11" s="301"/>
      <c r="Q11" s="11"/>
      <c r="R11" s="11"/>
      <c r="S11" s="11"/>
      <c r="T11" s="301"/>
      <c r="U11" s="252"/>
      <c r="V11" s="11"/>
    </row>
    <row r="12" ht="12.0" customHeight="1">
      <c r="A12" s="11"/>
      <c r="B12" s="11" t="s">
        <v>811</v>
      </c>
      <c r="C12" s="108">
        <f>VINMAX</f>
        <v>30</v>
      </c>
      <c r="D12" s="108" t="s">
        <v>54</v>
      </c>
      <c r="G12" s="11" t="s">
        <v>811</v>
      </c>
      <c r="H12" s="108">
        <f>VINMAX</f>
        <v>30</v>
      </c>
      <c r="I12" s="11" t="s">
        <v>54</v>
      </c>
      <c r="K12" s="262"/>
      <c r="L12" s="11"/>
      <c r="M12" s="11"/>
      <c r="N12" s="11"/>
      <c r="O12" s="11"/>
      <c r="P12" s="301"/>
      <c r="Q12" s="11"/>
      <c r="R12" s="11"/>
      <c r="S12" s="11"/>
      <c r="T12" s="301"/>
      <c r="U12" s="11"/>
      <c r="V12" s="11"/>
    </row>
    <row r="13" ht="12.0" customHeight="1">
      <c r="A13" s="11"/>
      <c r="B13" s="11" t="s">
        <v>630</v>
      </c>
      <c r="C13" s="108">
        <f>IF(C11&lt;10, IF(C11&lt;1, 0.1, 1), IF(C11&lt;100, 10, 100))</f>
        <v>1</v>
      </c>
      <c r="D13" s="11" t="s">
        <v>77</v>
      </c>
      <c r="G13" s="11" t="s">
        <v>630</v>
      </c>
      <c r="H13" s="108">
        <f>IF(H11&lt;10, IF(H11&lt;1, 0.1, 1), IF(H11&lt;100, 10, 100))</f>
        <v>100</v>
      </c>
      <c r="I13" s="11" t="s">
        <v>77</v>
      </c>
      <c r="K13" s="262"/>
      <c r="L13" s="11"/>
      <c r="M13" s="11"/>
      <c r="N13" s="11"/>
      <c r="O13" s="11"/>
      <c r="P13" s="301"/>
      <c r="Q13" s="11"/>
      <c r="R13" s="11"/>
      <c r="S13" s="11"/>
      <c r="T13" s="301"/>
      <c r="U13" s="11"/>
      <c r="V13" s="11"/>
    </row>
    <row r="14" ht="12.0" customHeight="1">
      <c r="A14" s="11"/>
      <c r="B14" s="11" t="s">
        <v>812</v>
      </c>
      <c r="C14" s="108">
        <f>SOA!C13</f>
        <v>1</v>
      </c>
      <c r="D14" s="11"/>
      <c r="G14" s="11" t="s">
        <v>812</v>
      </c>
      <c r="H14" s="108">
        <f>SOA!H13</f>
        <v>100</v>
      </c>
      <c r="K14" s="262"/>
      <c r="L14" s="11"/>
      <c r="M14" s="11"/>
      <c r="N14" s="11"/>
      <c r="O14" s="11"/>
      <c r="P14" s="301"/>
      <c r="Q14" s="11"/>
      <c r="R14" s="11"/>
      <c r="S14" s="11"/>
      <c r="T14" s="11"/>
      <c r="U14" s="11"/>
      <c r="V14" s="11"/>
    </row>
    <row r="15" ht="12.0" customHeight="1">
      <c r="A15" s="11"/>
      <c r="B15" s="11" t="s">
        <v>813</v>
      </c>
      <c r="C15" s="108">
        <f>C13*10</f>
        <v>10</v>
      </c>
      <c r="D15" s="11" t="s">
        <v>77</v>
      </c>
      <c r="G15" s="11" t="s">
        <v>814</v>
      </c>
      <c r="H15" s="108">
        <f>H13*10</f>
        <v>1000</v>
      </c>
      <c r="I15" s="11" t="s">
        <v>77</v>
      </c>
      <c r="K15" s="262"/>
      <c r="L15" s="11"/>
      <c r="M15" s="11"/>
      <c r="N15" s="11"/>
      <c r="O15" s="11"/>
      <c r="P15" s="11"/>
      <c r="Q15" s="11"/>
      <c r="R15" s="11"/>
      <c r="S15" s="11"/>
      <c r="T15" s="11"/>
      <c r="U15" s="11"/>
      <c r="V15" s="11"/>
    </row>
    <row r="16" ht="12.0" customHeight="1">
      <c r="A16" s="11"/>
      <c r="B16" s="11" t="s">
        <v>815</v>
      </c>
      <c r="C16" s="108">
        <f>SOA!C15</f>
        <v>10</v>
      </c>
      <c r="D16" s="11"/>
      <c r="G16" s="11" t="s">
        <v>815</v>
      </c>
      <c r="H16" s="108">
        <f>SOA!H15</f>
        <v>1000</v>
      </c>
      <c r="K16" s="262"/>
      <c r="L16" s="11"/>
      <c r="M16" s="11"/>
      <c r="N16" s="11"/>
      <c r="O16" s="11"/>
      <c r="P16" s="11"/>
      <c r="Q16" s="11"/>
      <c r="R16" s="11"/>
      <c r="S16" s="11"/>
      <c r="T16" s="11"/>
      <c r="U16" s="11"/>
      <c r="V16" s="11"/>
    </row>
    <row r="17" ht="12.0" customHeight="1">
      <c r="A17" s="11"/>
      <c r="B17" s="11" t="s">
        <v>816</v>
      </c>
      <c r="C17" s="286">
        <f>IF(C14=0.01, B7, IF(C14=0.1, C7, IF(C14=1, D7, E7)))</f>
        <v>34.54647226</v>
      </c>
      <c r="D17" s="11" t="s">
        <v>58</v>
      </c>
      <c r="G17" s="11" t="s">
        <v>816</v>
      </c>
      <c r="H17" s="286">
        <f>IF(H14=0.01, B7, IF(H14=0.1, C7, IF(H14=1, D7, IF(H14=10,E7,F7))))</f>
        <v>4.975421315</v>
      </c>
      <c r="K17" s="262"/>
      <c r="L17" s="11"/>
      <c r="M17" s="11"/>
      <c r="N17" s="11"/>
      <c r="O17" s="11"/>
      <c r="P17" s="11"/>
      <c r="Q17" s="11"/>
      <c r="R17" s="11"/>
      <c r="S17" s="11"/>
      <c r="T17" s="11"/>
      <c r="U17" s="11"/>
      <c r="V17" s="11"/>
    </row>
    <row r="18" ht="12.0" customHeight="1">
      <c r="A18" s="11"/>
      <c r="B18" s="11" t="s">
        <v>817</v>
      </c>
      <c r="C18" s="286">
        <f>IF(C16=100, F7, IF(C16=10, E7, IF(C16=1, D7,IF(C16=0.1, C7,B7))))</f>
        <v>9.68788885</v>
      </c>
      <c r="D18" s="11" t="s">
        <v>58</v>
      </c>
      <c r="G18" s="11" t="s">
        <v>817</v>
      </c>
      <c r="H18" s="286">
        <f>IF(H16=100, F7, IF(H16=10, E7, IF(H16=1, D7, IF(H16=0.1,B7,C7))))</f>
        <v>240</v>
      </c>
      <c r="K18" s="262"/>
      <c r="L18" s="11"/>
      <c r="M18" s="11"/>
      <c r="N18" s="11"/>
      <c r="O18" s="11"/>
      <c r="P18" s="11"/>
      <c r="Q18" s="11"/>
      <c r="R18" s="11"/>
      <c r="S18" s="11"/>
      <c r="T18" s="11"/>
      <c r="U18" s="11"/>
      <c r="V18" s="11"/>
    </row>
    <row r="19" ht="12.0" customHeight="1">
      <c r="A19" s="11"/>
      <c r="K19" s="262"/>
      <c r="L19" s="11"/>
      <c r="M19" s="11"/>
      <c r="N19" s="11"/>
      <c r="O19" s="11"/>
      <c r="P19" s="11"/>
      <c r="Q19" s="11"/>
      <c r="R19" s="11"/>
      <c r="S19" s="11"/>
      <c r="T19" s="11"/>
      <c r="U19" s="11"/>
      <c r="V19" s="11"/>
    </row>
    <row r="20" ht="12.0" customHeight="1">
      <c r="A20" s="11"/>
      <c r="B20" s="11" t="s">
        <v>818</v>
      </c>
      <c r="G20" s="11" t="s">
        <v>818</v>
      </c>
      <c r="K20" s="262"/>
      <c r="L20" s="11"/>
      <c r="M20" s="11"/>
      <c r="N20" s="11"/>
      <c r="O20" s="11"/>
      <c r="P20" s="11"/>
      <c r="Q20" s="11"/>
      <c r="R20" s="11"/>
      <c r="S20" s="11"/>
      <c r="T20" s="11"/>
      <c r="U20" s="11"/>
      <c r="V20" s="11"/>
    </row>
    <row r="21" ht="12.0" customHeight="1">
      <c r="A21" s="11"/>
      <c r="B21" s="11" t="s">
        <v>634</v>
      </c>
      <c r="C21" s="108">
        <f>C17/C14^C22</f>
        <v>34.54647226</v>
      </c>
      <c r="F21" s="11"/>
      <c r="G21" s="11" t="s">
        <v>634</v>
      </c>
      <c r="H21" s="108">
        <f>H17/H14^H22</f>
        <v>0.002138292456</v>
      </c>
      <c r="O21" s="11"/>
      <c r="P21" s="11"/>
      <c r="Q21" s="11"/>
      <c r="R21" s="11"/>
      <c r="S21" s="11"/>
      <c r="T21" s="11"/>
      <c r="U21" s="11"/>
      <c r="V21" s="11"/>
    </row>
    <row r="22" ht="12.0" customHeight="1">
      <c r="A22" s="11"/>
      <c r="B22" s="11" t="s">
        <v>635</v>
      </c>
      <c r="C22" s="108">
        <f>LOG(C17/C18)/LOG(C14/C16)</f>
        <v>-0.5521745582</v>
      </c>
      <c r="F22" s="11"/>
      <c r="G22" s="11" t="s">
        <v>635</v>
      </c>
      <c r="H22" s="108">
        <f>IF(H17=H18,1E-12,LOG(H17/H18)/LOG(H14/H16))</f>
        <v>1.683381379</v>
      </c>
      <c r="I22" s="11" t="s">
        <v>819</v>
      </c>
      <c r="K22" s="262"/>
      <c r="L22" s="11"/>
      <c r="M22" s="11"/>
      <c r="N22" s="11"/>
      <c r="O22" s="11"/>
      <c r="P22" s="11"/>
      <c r="Q22" s="11"/>
      <c r="R22" s="11"/>
      <c r="S22" s="11"/>
      <c r="T22" s="11"/>
      <c r="U22" s="11"/>
      <c r="V22" s="11"/>
    </row>
    <row r="23" ht="12.0" customHeight="1">
      <c r="A23" s="11"/>
      <c r="B23" s="11" t="s">
        <v>820</v>
      </c>
      <c r="C23" s="108">
        <f>C21*C11^C22</f>
        <v>33.89111742</v>
      </c>
      <c r="D23" s="11" t="s">
        <v>58</v>
      </c>
      <c r="G23" s="11" t="s">
        <v>820</v>
      </c>
      <c r="H23" s="108">
        <f>H21*H11^H22</f>
        <v>8.689842726</v>
      </c>
      <c r="K23" s="262"/>
      <c r="L23" s="11"/>
      <c r="M23" s="11"/>
      <c r="N23" s="11"/>
      <c r="O23" s="11"/>
      <c r="P23" s="11"/>
      <c r="Q23" s="11"/>
      <c r="R23" s="11"/>
      <c r="S23" s="11"/>
      <c r="T23" s="11"/>
      <c r="U23" s="11"/>
      <c r="V23" s="11"/>
    </row>
    <row r="24" ht="12.0" customHeight="1">
      <c r="A24" s="11"/>
      <c r="K24" s="262"/>
      <c r="L24" s="11"/>
      <c r="M24" s="11"/>
      <c r="N24" s="252"/>
      <c r="O24" s="11"/>
      <c r="P24" s="11"/>
      <c r="Q24" s="11"/>
      <c r="R24" s="11"/>
      <c r="S24" s="11"/>
      <c r="T24" s="11"/>
      <c r="U24" s="11"/>
      <c r="V24" s="11"/>
    </row>
    <row r="25" ht="12.0" customHeight="1">
      <c r="A25" s="11"/>
      <c r="B25" s="235" t="s">
        <v>821</v>
      </c>
      <c r="C25" s="108">
        <f> C23*C12</f>
        <v>1016.733523</v>
      </c>
      <c r="D25" s="11"/>
      <c r="G25" s="235" t="s">
        <v>821</v>
      </c>
      <c r="H25" s="108">
        <f>IF(H11&lt;1, H17, H23)*H12</f>
        <v>260.6952818</v>
      </c>
      <c r="K25" s="262"/>
      <c r="L25" s="11"/>
      <c r="M25" s="11"/>
      <c r="N25" s="11"/>
      <c r="O25" s="11"/>
      <c r="P25" s="11"/>
      <c r="Q25" s="11"/>
      <c r="R25" s="11"/>
      <c r="S25" s="11"/>
      <c r="T25" s="11"/>
      <c r="U25" s="11"/>
      <c r="V25" s="11"/>
    </row>
    <row r="26" ht="12.0" customHeight="1">
      <c r="A26" s="11"/>
      <c r="K26" s="262"/>
      <c r="L26" s="11"/>
      <c r="M26" s="11"/>
      <c r="N26" s="11"/>
      <c r="O26" s="11"/>
      <c r="P26" s="11"/>
      <c r="Q26" s="11"/>
      <c r="R26" s="11"/>
      <c r="S26" s="11"/>
      <c r="T26" s="11"/>
      <c r="U26" s="11"/>
      <c r="V26" s="11"/>
    </row>
    <row r="27" ht="12.0" customHeight="1">
      <c r="A27" s="11"/>
      <c r="G27" s="11" t="s">
        <v>822</v>
      </c>
      <c r="H27" s="108" t="str">
        <f>'Design Calculator'!F86</f>
        <v>No</v>
      </c>
      <c r="K27" s="262"/>
      <c r="L27" s="11"/>
      <c r="M27" s="11"/>
      <c r="N27" s="11"/>
      <c r="O27" s="252"/>
      <c r="P27" s="11"/>
      <c r="Q27" s="11"/>
      <c r="R27" s="11"/>
      <c r="S27" s="11"/>
      <c r="T27" s="11"/>
      <c r="U27" s="11"/>
      <c r="V27" s="11"/>
    </row>
    <row r="28" ht="12.0" customHeight="1">
      <c r="A28" s="11"/>
      <c r="B28" s="252" t="s">
        <v>823</v>
      </c>
      <c r="C28" s="108">
        <f>(C8-TJDC1)/(C8-25)</f>
        <v>0.571328</v>
      </c>
      <c r="D28" s="262"/>
      <c r="E28" s="262"/>
      <c r="F28" s="262"/>
      <c r="G28" s="11" t="s">
        <v>824</v>
      </c>
      <c r="H28" s="108">
        <f>IF(H27="Yes", TJDC1,TAMB)</f>
        <v>85</v>
      </c>
      <c r="K28" s="262"/>
      <c r="L28" s="11"/>
      <c r="M28" s="11"/>
      <c r="N28" s="11"/>
      <c r="O28" s="252"/>
      <c r="P28" s="11"/>
      <c r="Q28" s="11"/>
      <c r="R28" s="11"/>
      <c r="S28" s="11"/>
      <c r="T28" s="11"/>
      <c r="U28" s="11"/>
      <c r="V28" s="11"/>
    </row>
    <row r="29" ht="12.0" customHeight="1">
      <c r="A29" s="11"/>
      <c r="B29" s="235" t="s">
        <v>825</v>
      </c>
      <c r="C29" s="108">
        <f>IF((C25*C28)&lt;0,0.000000001,C25*C28)</f>
        <v>580.88833</v>
      </c>
      <c r="D29" s="303" t="s">
        <v>88</v>
      </c>
      <c r="E29" s="262"/>
      <c r="F29" s="262"/>
      <c r="K29" s="262"/>
      <c r="L29" s="11"/>
      <c r="M29" s="11"/>
      <c r="N29" s="11"/>
      <c r="O29" s="11"/>
      <c r="P29" s="11"/>
      <c r="Q29" s="11"/>
      <c r="R29" s="11"/>
      <c r="S29" s="11"/>
      <c r="T29" s="11"/>
      <c r="U29" s="11"/>
      <c r="V29" s="11"/>
    </row>
    <row r="30" ht="12.0" customHeight="1">
      <c r="A30" s="11"/>
      <c r="B30" s="252"/>
      <c r="C30" s="252"/>
      <c r="D30" s="262"/>
      <c r="E30" s="262"/>
      <c r="F30" s="262"/>
      <c r="G30" s="252" t="s">
        <v>823</v>
      </c>
      <c r="H30" s="108">
        <f>(C8-H28)/(C8-25)</f>
        <v>0.6</v>
      </c>
      <c r="K30" s="262"/>
      <c r="L30" s="11"/>
      <c r="M30" s="11"/>
      <c r="N30" s="11"/>
      <c r="O30" s="11"/>
      <c r="P30" s="11"/>
      <c r="Q30" s="11"/>
      <c r="R30" s="11"/>
      <c r="S30" s="11"/>
      <c r="T30" s="11"/>
      <c r="U30" s="11"/>
      <c r="V30" s="11"/>
    </row>
    <row r="31" ht="12.0" customHeight="1">
      <c r="A31" s="11"/>
      <c r="B31" s="252"/>
      <c r="D31" s="262"/>
      <c r="E31" s="262"/>
      <c r="F31" s="262"/>
      <c r="G31" s="235" t="s">
        <v>825</v>
      </c>
      <c r="H31" s="108">
        <f>IF((H25*H30)&lt;0,0.000000001,H25*H30)</f>
        <v>156.4171691</v>
      </c>
      <c r="K31" s="262"/>
      <c r="L31" s="11"/>
      <c r="M31" s="11"/>
      <c r="N31" s="11"/>
      <c r="O31" s="11"/>
      <c r="P31" s="11"/>
      <c r="Q31" s="11"/>
      <c r="R31" s="11"/>
      <c r="S31" s="11"/>
      <c r="T31" s="11"/>
      <c r="U31" s="11"/>
      <c r="V31" s="11"/>
    </row>
    <row r="32" ht="12.0" customHeight="1">
      <c r="A32" s="11"/>
      <c r="B32" s="252" t="s">
        <v>826</v>
      </c>
      <c r="D32" s="262"/>
      <c r="E32" s="262"/>
      <c r="F32" s="262"/>
      <c r="H32" s="11"/>
      <c r="I32" s="143"/>
      <c r="J32" s="143"/>
      <c r="K32" s="143"/>
      <c r="L32" s="11"/>
      <c r="M32" s="11"/>
      <c r="N32" s="11"/>
      <c r="O32" s="11"/>
      <c r="P32" s="11"/>
      <c r="Q32" s="11"/>
      <c r="R32" s="11"/>
      <c r="S32" s="11"/>
      <c r="T32" s="11"/>
      <c r="U32" s="11"/>
      <c r="V32" s="11"/>
    </row>
    <row r="33" ht="12.0" customHeight="1">
      <c r="A33" s="11"/>
      <c r="C33" s="287" t="s">
        <v>827</v>
      </c>
      <c r="D33" s="304" t="s">
        <v>828</v>
      </c>
      <c r="E33" s="304" t="s">
        <v>829</v>
      </c>
      <c r="F33" s="304" t="s">
        <v>830</v>
      </c>
      <c r="G33" s="262"/>
      <c r="H33" s="11"/>
      <c r="I33" s="143"/>
      <c r="J33" s="143"/>
      <c r="K33" s="143"/>
      <c r="L33" s="11"/>
      <c r="M33" s="11"/>
      <c r="N33" s="11"/>
      <c r="O33" s="11"/>
      <c r="P33" s="11"/>
      <c r="Q33" s="11"/>
      <c r="R33" s="11"/>
      <c r="S33" s="11"/>
      <c r="T33" s="11"/>
      <c r="U33" s="11"/>
      <c r="V33" s="11"/>
    </row>
    <row r="34" ht="12.0" customHeight="1">
      <c r="B34" s="252" t="s">
        <v>831</v>
      </c>
      <c r="C34" s="252">
        <v>0.01</v>
      </c>
      <c r="D34" s="252">
        <v>0.1</v>
      </c>
      <c r="E34" s="262">
        <v>1.0</v>
      </c>
      <c r="F34" s="252">
        <v>10.0</v>
      </c>
      <c r="G34" s="300"/>
      <c r="H34" s="11"/>
      <c r="I34" s="11"/>
      <c r="J34" s="11"/>
      <c r="K34" s="11"/>
      <c r="L34" s="11"/>
      <c r="M34" s="11"/>
      <c r="N34" s="11"/>
      <c r="O34" s="11"/>
      <c r="P34" s="11"/>
      <c r="Q34" s="11"/>
      <c r="R34" s="11"/>
      <c r="S34" s="11"/>
      <c r="T34" s="11"/>
      <c r="U34" s="11"/>
      <c r="V34" s="11"/>
    </row>
    <row r="35" ht="12.0" customHeight="1">
      <c r="B35" s="252" t="s">
        <v>832</v>
      </c>
      <c r="C35" s="252">
        <v>0.1</v>
      </c>
      <c r="D35" s="252">
        <v>1.0</v>
      </c>
      <c r="E35" s="262">
        <v>10.0</v>
      </c>
      <c r="F35" s="252">
        <v>100.0</v>
      </c>
      <c r="G35" s="235"/>
      <c r="H35" s="11"/>
      <c r="I35" s="11"/>
      <c r="J35" s="11"/>
      <c r="K35" s="11"/>
      <c r="L35" s="11"/>
      <c r="M35" s="11"/>
      <c r="N35" s="11"/>
      <c r="O35" s="11"/>
      <c r="P35" s="11"/>
      <c r="Q35" s="11"/>
      <c r="R35" s="11"/>
      <c r="S35" s="11"/>
      <c r="T35" s="11"/>
      <c r="U35" s="11"/>
      <c r="V35" s="11"/>
    </row>
    <row r="36" ht="12.0" customHeight="1">
      <c r="B36" s="252" t="s">
        <v>634</v>
      </c>
      <c r="C36" s="252">
        <f t="shared" ref="C36:F36" si="1">B7/(C34^C37)</f>
        <v>144</v>
      </c>
      <c r="D36" s="252">
        <f t="shared" si="1"/>
        <v>34.54647226</v>
      </c>
      <c r="E36" s="252">
        <f t="shared" si="1"/>
        <v>34.54647226</v>
      </c>
      <c r="F36" s="252">
        <f t="shared" si="1"/>
        <v>18.86376739</v>
      </c>
      <c r="G36" s="11"/>
      <c r="H36" s="11"/>
      <c r="I36" s="11"/>
      <c r="J36" s="11"/>
      <c r="K36" s="11"/>
      <c r="L36" s="11"/>
      <c r="M36" s="11"/>
      <c r="N36" s="11"/>
      <c r="O36" s="11"/>
      <c r="P36" s="11"/>
      <c r="Q36" s="11"/>
      <c r="R36" s="11"/>
      <c r="S36" s="11"/>
      <c r="T36" s="11"/>
      <c r="U36" s="11"/>
      <c r="V36" s="11"/>
    </row>
    <row r="37" ht="12.0" customHeight="1">
      <c r="B37" s="252" t="s">
        <v>635</v>
      </c>
      <c r="C37" s="262">
        <f t="shared" ref="C37:F37" si="2">LOG(B7/C7)/LOG(C34/C35)</f>
        <v>-0.2218487496</v>
      </c>
      <c r="D37" s="262">
        <f t="shared" si="2"/>
        <v>-0.841807536</v>
      </c>
      <c r="E37" s="262">
        <f t="shared" si="2"/>
        <v>-0.5521745582</v>
      </c>
      <c r="F37" s="262">
        <f t="shared" si="2"/>
        <v>-0.2893992851</v>
      </c>
      <c r="G37" s="11"/>
      <c r="H37" s="11"/>
      <c r="I37" s="11"/>
      <c r="J37" s="11"/>
      <c r="K37" s="11"/>
      <c r="L37" s="11"/>
      <c r="M37" s="11"/>
      <c r="N37" s="11"/>
      <c r="O37" s="11"/>
      <c r="P37" s="11"/>
      <c r="Q37" s="11"/>
      <c r="R37" s="11"/>
      <c r="S37" s="11"/>
      <c r="T37" s="11"/>
      <c r="U37" s="11"/>
      <c r="V37" s="11"/>
    </row>
    <row r="38" ht="12.0" customHeight="1">
      <c r="A38" s="11"/>
      <c r="B38" s="252"/>
      <c r="C38" s="262"/>
      <c r="D38" s="262"/>
      <c r="E38" s="262"/>
      <c r="F38" s="262"/>
      <c r="G38" s="11"/>
      <c r="H38" s="11"/>
      <c r="I38" s="11"/>
      <c r="J38" s="11"/>
      <c r="K38" s="11"/>
      <c r="L38" s="11"/>
      <c r="M38" s="11"/>
      <c r="N38" s="11"/>
      <c r="O38" s="11"/>
      <c r="P38" s="11"/>
      <c r="Q38" s="11"/>
      <c r="R38" s="11"/>
      <c r="S38" s="11"/>
      <c r="T38" s="11"/>
      <c r="U38" s="11"/>
      <c r="V38" s="11"/>
      <c r="W38" s="11"/>
      <c r="X38" s="11"/>
      <c r="Y38" s="11"/>
      <c r="Z38" s="11"/>
    </row>
    <row r="39" ht="12.0" customHeight="1">
      <c r="A39" s="11"/>
      <c r="B39" s="305" t="s">
        <v>833</v>
      </c>
      <c r="C39" s="11"/>
      <c r="D39" s="262"/>
      <c r="E39" s="262"/>
      <c r="F39" s="262"/>
      <c r="G39" s="11"/>
      <c r="H39" s="11"/>
      <c r="I39" s="11"/>
      <c r="J39" s="11"/>
      <c r="K39" s="11"/>
      <c r="L39" s="11"/>
      <c r="M39" s="11"/>
      <c r="N39" s="11"/>
      <c r="O39" s="11"/>
      <c r="P39" s="11"/>
      <c r="Q39" s="11"/>
      <c r="R39" s="11"/>
      <c r="S39" s="11"/>
      <c r="T39" s="11"/>
      <c r="U39" s="11"/>
      <c r="V39" s="11"/>
      <c r="W39" s="11"/>
      <c r="X39" s="11"/>
      <c r="Y39" s="11"/>
      <c r="Z39" s="11"/>
    </row>
    <row r="40" ht="12.0" customHeight="1">
      <c r="A40" s="11"/>
      <c r="B40" s="306" t="s">
        <v>834</v>
      </c>
      <c r="C40" s="307" t="s">
        <v>835</v>
      </c>
      <c r="D40" s="262"/>
      <c r="E40" s="262"/>
      <c r="F40" s="262"/>
      <c r="G40" s="11"/>
      <c r="H40" s="11"/>
      <c r="I40" s="11"/>
      <c r="J40" s="11"/>
      <c r="K40" s="11"/>
      <c r="L40" s="11"/>
      <c r="M40" s="11"/>
      <c r="N40" s="11"/>
      <c r="O40" s="11"/>
      <c r="P40" s="11"/>
      <c r="Q40" s="11"/>
      <c r="R40" s="11"/>
      <c r="S40" s="11"/>
      <c r="T40" s="11"/>
      <c r="U40" s="11"/>
      <c r="V40" s="11"/>
      <c r="W40" s="11"/>
      <c r="X40" s="11"/>
      <c r="Y40" s="11"/>
      <c r="Z40" s="11"/>
    </row>
    <row r="41" ht="12.0" customHeight="1">
      <c r="A41" s="11"/>
      <c r="B41" s="308" t="s">
        <v>836</v>
      </c>
      <c r="C41" s="309" t="s">
        <v>837</v>
      </c>
      <c r="D41" s="262"/>
      <c r="E41" s="262"/>
      <c r="F41" s="262"/>
      <c r="G41" s="11"/>
      <c r="H41" s="11"/>
      <c r="I41" s="11"/>
      <c r="J41" s="11"/>
      <c r="K41" s="11"/>
      <c r="L41" s="11"/>
      <c r="M41" s="11"/>
      <c r="N41" s="11"/>
      <c r="O41" s="11"/>
      <c r="P41" s="11"/>
      <c r="Q41" s="11"/>
      <c r="R41" s="11"/>
      <c r="S41" s="11"/>
      <c r="T41" s="11"/>
      <c r="U41" s="11"/>
      <c r="V41" s="11"/>
      <c r="W41" s="11"/>
      <c r="X41" s="11"/>
      <c r="Y41" s="11"/>
      <c r="Z41" s="11"/>
    </row>
    <row r="42" ht="12.0" customHeight="1">
      <c r="A42" s="11"/>
      <c r="B42" s="310">
        <v>1.0</v>
      </c>
      <c r="C42" s="311">
        <f t="shared" ref="C42:C47" si="3">$C$29/B42</f>
        <v>580.88833</v>
      </c>
      <c r="D42" s="262"/>
      <c r="E42" s="262"/>
      <c r="F42" s="262"/>
      <c r="G42" s="11"/>
      <c r="H42" s="11"/>
      <c r="I42" s="11"/>
      <c r="J42" s="11"/>
      <c r="K42" s="11"/>
      <c r="L42" s="11"/>
      <c r="M42" s="11"/>
      <c r="N42" s="11"/>
      <c r="O42" s="11"/>
      <c r="P42" s="11"/>
      <c r="Q42" s="11"/>
      <c r="R42" s="11"/>
      <c r="S42" s="11"/>
      <c r="T42" s="11"/>
      <c r="U42" s="11"/>
      <c r="V42" s="11"/>
      <c r="W42" s="11"/>
      <c r="X42" s="11"/>
      <c r="Y42" s="11"/>
      <c r="Z42" s="11"/>
    </row>
    <row r="43" ht="12.0" customHeight="1">
      <c r="A43" s="11"/>
      <c r="B43" s="310">
        <v>1.2</v>
      </c>
      <c r="C43" s="311">
        <f t="shared" si="3"/>
        <v>484.0736084</v>
      </c>
      <c r="D43" s="262"/>
      <c r="E43" s="262"/>
      <c r="F43" s="262"/>
      <c r="G43" s="11"/>
      <c r="H43" s="11"/>
      <c r="I43" s="11"/>
      <c r="J43" s="11"/>
      <c r="K43" s="11"/>
      <c r="L43" s="11"/>
      <c r="M43" s="11"/>
      <c r="N43" s="11"/>
      <c r="O43" s="11"/>
      <c r="P43" s="11"/>
      <c r="Q43" s="11"/>
      <c r="R43" s="11"/>
      <c r="S43" s="11"/>
      <c r="T43" s="11"/>
      <c r="U43" s="11"/>
      <c r="V43" s="11"/>
      <c r="W43" s="11"/>
      <c r="X43" s="11"/>
      <c r="Y43" s="11"/>
      <c r="Z43" s="11"/>
    </row>
    <row r="44" ht="12.0" customHeight="1">
      <c r="A44" s="11"/>
      <c r="B44" s="310">
        <v>30.0</v>
      </c>
      <c r="C44" s="311">
        <f t="shared" si="3"/>
        <v>19.36294433</v>
      </c>
      <c r="D44" s="262"/>
      <c r="E44" s="262"/>
      <c r="F44" s="262"/>
      <c r="G44" s="11"/>
      <c r="H44" s="11"/>
      <c r="I44" s="11"/>
      <c r="J44" s="11"/>
      <c r="K44" s="11"/>
      <c r="L44" s="11"/>
      <c r="M44" s="11"/>
      <c r="N44" s="11"/>
      <c r="O44" s="11"/>
      <c r="P44" s="11"/>
      <c r="Q44" s="11"/>
      <c r="R44" s="11"/>
      <c r="S44" s="11"/>
      <c r="T44" s="11"/>
      <c r="U44" s="11"/>
      <c r="V44" s="11"/>
      <c r="W44" s="11"/>
      <c r="X44" s="11"/>
      <c r="Y44" s="11"/>
      <c r="Z44" s="11"/>
    </row>
    <row r="45" ht="12.0" customHeight="1">
      <c r="A45" s="11"/>
      <c r="B45" s="310">
        <v>60.0</v>
      </c>
      <c r="C45" s="311">
        <f t="shared" si="3"/>
        <v>9.681472167</v>
      </c>
      <c r="D45" s="262"/>
      <c r="E45" s="262"/>
      <c r="F45" s="262"/>
      <c r="G45" s="11"/>
      <c r="H45" s="11"/>
      <c r="I45" s="11"/>
      <c r="J45" s="11"/>
      <c r="K45" s="11"/>
      <c r="L45" s="11"/>
      <c r="M45" s="11"/>
      <c r="N45" s="11"/>
      <c r="O45" s="11"/>
      <c r="P45" s="11"/>
      <c r="Q45" s="11"/>
      <c r="R45" s="11"/>
      <c r="S45" s="11"/>
      <c r="T45" s="11"/>
      <c r="U45" s="11"/>
      <c r="V45" s="11"/>
      <c r="W45" s="11"/>
      <c r="X45" s="11"/>
      <c r="Y45" s="11"/>
      <c r="Z45" s="11"/>
    </row>
    <row r="46" ht="12.0" customHeight="1">
      <c r="A46" s="11"/>
      <c r="B46" s="310">
        <v>80.0</v>
      </c>
      <c r="C46" s="311">
        <f t="shared" si="3"/>
        <v>7.261104125</v>
      </c>
      <c r="D46" s="262"/>
      <c r="E46" s="262"/>
      <c r="F46" s="262"/>
      <c r="G46" s="11"/>
      <c r="H46" s="11"/>
      <c r="I46" s="11"/>
      <c r="J46" s="11"/>
      <c r="K46" s="11"/>
      <c r="L46" s="11"/>
      <c r="M46" s="11"/>
      <c r="N46" s="11"/>
      <c r="O46" s="11"/>
      <c r="P46" s="11"/>
      <c r="Q46" s="11"/>
      <c r="R46" s="11"/>
      <c r="S46" s="11"/>
      <c r="T46" s="11"/>
      <c r="U46" s="11"/>
      <c r="V46" s="11"/>
      <c r="W46" s="11"/>
      <c r="X46" s="11"/>
      <c r="Y46" s="11"/>
      <c r="Z46" s="11"/>
    </row>
    <row r="47" ht="12.0" customHeight="1">
      <c r="B47" s="312">
        <v>100.0</v>
      </c>
      <c r="C47" s="313">
        <f t="shared" si="3"/>
        <v>5.8088833</v>
      </c>
      <c r="E47" s="262"/>
      <c r="F47" s="11"/>
      <c r="G47" s="11"/>
      <c r="H47" s="11"/>
      <c r="I47" s="11"/>
      <c r="J47" s="11"/>
      <c r="K47" s="11"/>
      <c r="L47" s="11"/>
      <c r="M47" s="11"/>
      <c r="N47" s="11"/>
      <c r="O47" s="11"/>
      <c r="P47" s="11"/>
      <c r="Q47" s="11"/>
      <c r="R47" s="11"/>
      <c r="S47" s="11"/>
      <c r="T47" s="11"/>
      <c r="U47" s="11"/>
      <c r="V47" s="11"/>
    </row>
    <row r="48" ht="12.0" customHeight="1">
      <c r="E48" s="262"/>
      <c r="F48" s="11"/>
      <c r="G48" s="11"/>
      <c r="H48" s="11"/>
      <c r="I48" s="11"/>
      <c r="J48" s="11"/>
      <c r="K48" s="11"/>
      <c r="L48" s="11"/>
      <c r="M48" s="11"/>
      <c r="N48" s="11"/>
      <c r="O48" s="11"/>
      <c r="P48" s="11"/>
      <c r="Q48" s="11"/>
      <c r="R48" s="11"/>
      <c r="S48" s="11"/>
      <c r="T48" s="11"/>
      <c r="U48" s="11"/>
      <c r="V48" s="11"/>
    </row>
    <row r="49" ht="12.0" customHeight="1">
      <c r="E49" s="262"/>
      <c r="F49" s="11"/>
      <c r="G49" s="11"/>
      <c r="H49" s="11"/>
      <c r="I49" s="11"/>
      <c r="J49" s="11"/>
      <c r="K49" s="11"/>
      <c r="L49" s="11"/>
      <c r="M49" s="11"/>
      <c r="N49" s="11"/>
      <c r="O49" s="11"/>
      <c r="P49" s="11"/>
      <c r="Q49" s="11"/>
      <c r="R49" s="11"/>
      <c r="S49" s="11"/>
      <c r="T49" s="11"/>
      <c r="U49" s="11"/>
      <c r="V49" s="11"/>
    </row>
    <row r="50" ht="12.0" customHeight="1">
      <c r="E50" s="262"/>
      <c r="F50" s="11"/>
      <c r="G50" s="11"/>
      <c r="H50" s="11"/>
      <c r="I50" s="11"/>
      <c r="J50" s="11"/>
      <c r="K50" s="11"/>
      <c r="L50" s="11"/>
      <c r="M50" s="11"/>
      <c r="N50" s="11"/>
      <c r="O50" s="11"/>
      <c r="P50" s="11"/>
      <c r="Q50" s="11"/>
      <c r="R50" s="11"/>
      <c r="S50" s="11"/>
      <c r="T50" s="11"/>
      <c r="U50" s="11"/>
      <c r="V50" s="11"/>
    </row>
    <row r="51" ht="30.0" customHeight="1">
      <c r="A51" s="296" t="s">
        <v>838</v>
      </c>
      <c r="B51" s="11"/>
      <c r="C51" s="11"/>
      <c r="D51" s="11"/>
      <c r="E51" s="11"/>
      <c r="F51" s="11"/>
      <c r="G51" s="11"/>
      <c r="H51" s="11"/>
      <c r="I51" s="11"/>
      <c r="J51" s="11"/>
      <c r="Q51" s="11"/>
      <c r="R51" s="11"/>
      <c r="S51" s="11"/>
      <c r="T51" s="11"/>
      <c r="U51" s="11"/>
      <c r="V51" s="11"/>
    </row>
    <row r="52" ht="12.0" customHeight="1">
      <c r="A52" s="11"/>
      <c r="B52" s="11"/>
      <c r="C52" s="11"/>
      <c r="D52" s="11"/>
      <c r="E52" s="11"/>
      <c r="F52" s="11"/>
      <c r="G52" s="11"/>
      <c r="H52" s="11"/>
      <c r="I52" s="11"/>
      <c r="J52" s="11"/>
      <c r="Q52" s="11"/>
      <c r="R52" s="11"/>
      <c r="S52" s="11"/>
      <c r="T52" s="11"/>
      <c r="U52" s="11"/>
      <c r="V52" s="11"/>
    </row>
    <row r="53" ht="12.0" customHeight="1">
      <c r="A53" s="295"/>
      <c r="B53" s="280" t="s">
        <v>797</v>
      </c>
      <c r="C53" s="297"/>
      <c r="D53" s="297"/>
      <c r="E53" s="297"/>
      <c r="F53" s="294"/>
      <c r="G53" s="252"/>
      <c r="H53" s="11" t="s">
        <v>798</v>
      </c>
      <c r="I53" s="11"/>
      <c r="J53" s="11"/>
      <c r="Q53" s="11"/>
      <c r="R53" s="11"/>
      <c r="S53" s="11"/>
      <c r="T53" s="11"/>
      <c r="U53" s="11"/>
      <c r="V53" s="11"/>
    </row>
    <row r="54" ht="12.0" customHeight="1">
      <c r="A54" s="295"/>
      <c r="B54" s="295" t="s">
        <v>799</v>
      </c>
      <c r="C54" s="295" t="s">
        <v>800</v>
      </c>
      <c r="D54" s="295" t="s">
        <v>801</v>
      </c>
      <c r="E54" s="295" t="s">
        <v>802</v>
      </c>
      <c r="F54" s="295" t="s">
        <v>803</v>
      </c>
      <c r="G54" s="11"/>
      <c r="H54" s="11" t="s">
        <v>804</v>
      </c>
      <c r="I54" s="252"/>
      <c r="J54" s="252"/>
      <c r="Q54" s="11"/>
      <c r="R54" s="11"/>
      <c r="S54" s="11"/>
      <c r="T54" s="11"/>
      <c r="U54" s="11"/>
      <c r="V54" s="11"/>
    </row>
    <row r="55" ht="12.0" customHeight="1">
      <c r="A55" s="295" t="s">
        <v>805</v>
      </c>
      <c r="B55" s="298">
        <f>'Design Calculator'!$G$57</f>
        <v>400</v>
      </c>
      <c r="C55" s="298">
        <f>'Design Calculator'!$G$58</f>
        <v>116.6254164</v>
      </c>
      <c r="D55" s="298">
        <f>'Design Calculator'!$G$59</f>
        <v>13.45503614</v>
      </c>
      <c r="E55" s="298">
        <f>'Design Calculator'!$G$60</f>
        <v>4.843587653</v>
      </c>
      <c r="F55" s="298">
        <f>'Design Calculator'!$G$61</f>
        <v>2.377727406</v>
      </c>
      <c r="G55" s="143"/>
      <c r="H55" s="11" t="s">
        <v>806</v>
      </c>
      <c r="I55" s="252"/>
      <c r="J55" s="252"/>
      <c r="Q55" s="11"/>
      <c r="R55" s="11"/>
      <c r="S55" s="11"/>
      <c r="T55" s="11"/>
      <c r="U55" s="11"/>
      <c r="V55" s="11"/>
    </row>
    <row r="56" ht="12.0" customHeight="1">
      <c r="A56" s="11"/>
      <c r="B56" s="235" t="s">
        <v>333</v>
      </c>
      <c r="C56" s="235">
        <f>'Design Calculator'!$G$56</f>
        <v>175</v>
      </c>
      <c r="D56" s="299" t="s">
        <v>839</v>
      </c>
      <c r="E56" s="262"/>
      <c r="F56" s="262"/>
      <c r="G56" s="262"/>
      <c r="H56" s="11"/>
      <c r="I56" s="252"/>
      <c r="J56" s="252"/>
      <c r="Q56" s="11"/>
      <c r="R56" s="11"/>
      <c r="S56" s="11"/>
      <c r="T56" s="11"/>
      <c r="U56" s="11"/>
      <c r="V56" s="11"/>
    </row>
    <row r="57" ht="12.0" customHeight="1">
      <c r="A57" s="11"/>
      <c r="B57" s="11"/>
      <c r="C57" s="252"/>
      <c r="D57" s="262"/>
      <c r="E57" s="262"/>
      <c r="F57" s="262"/>
      <c r="G57" s="262"/>
      <c r="H57" s="11"/>
      <c r="I57" s="252"/>
      <c r="J57" s="252"/>
      <c r="Q57" s="11"/>
      <c r="R57" s="11"/>
      <c r="S57" s="11"/>
      <c r="T57" s="11"/>
      <c r="U57" s="11"/>
      <c r="V57" s="11"/>
    </row>
    <row r="58" ht="12.0" customHeight="1">
      <c r="A58" s="11"/>
      <c r="B58" s="287" t="s">
        <v>808</v>
      </c>
      <c r="C58" s="11"/>
      <c r="D58" s="11"/>
      <c r="E58" s="11"/>
      <c r="F58" s="11"/>
      <c r="G58" s="300" t="s">
        <v>809</v>
      </c>
      <c r="H58" s="11"/>
      <c r="I58" s="11"/>
      <c r="J58" s="264"/>
      <c r="Q58" s="11"/>
      <c r="R58" s="11"/>
      <c r="S58" s="11"/>
      <c r="T58" s="11"/>
      <c r="U58" s="11"/>
      <c r="V58" s="11"/>
    </row>
    <row r="59" ht="12.0" customHeight="1">
      <c r="A59" s="11"/>
      <c r="B59" s="11" t="s">
        <v>810</v>
      </c>
      <c r="C59" s="143">
        <f>IF('Design Calculator'!F30="Power Limit", 'Design Calculator'!$F$84,'Design Calculator'!F97)</f>
        <v>1.035294118</v>
      </c>
      <c r="D59" s="11" t="s">
        <v>77</v>
      </c>
      <c r="E59" s="11"/>
      <c r="F59" s="11"/>
      <c r="G59" s="11" t="s">
        <v>810</v>
      </c>
      <c r="H59" s="289">
        <f>Equations!G73</f>
        <v>139.2728365</v>
      </c>
      <c r="I59" s="11" t="s">
        <v>77</v>
      </c>
      <c r="J59" s="252"/>
      <c r="Q59" s="11"/>
      <c r="R59" s="11"/>
      <c r="S59" s="11"/>
      <c r="T59" s="11"/>
      <c r="U59" s="11"/>
      <c r="V59" s="11"/>
    </row>
    <row r="60" ht="12.0" customHeight="1">
      <c r="A60" s="11"/>
      <c r="B60" s="11" t="s">
        <v>811</v>
      </c>
      <c r="C60" s="11">
        <f>VINMAX</f>
        <v>30</v>
      </c>
      <c r="D60" s="11" t="s">
        <v>54</v>
      </c>
      <c r="E60" s="11"/>
      <c r="F60" s="11"/>
      <c r="G60" s="11" t="s">
        <v>811</v>
      </c>
      <c r="H60" s="11">
        <f>VINMAX</f>
        <v>30</v>
      </c>
      <c r="I60" s="11" t="s">
        <v>54</v>
      </c>
      <c r="J60" s="11"/>
      <c r="Q60" s="11"/>
      <c r="R60" s="11"/>
      <c r="S60" s="11"/>
      <c r="T60" s="11"/>
      <c r="U60" s="11"/>
      <c r="V60" s="11"/>
    </row>
    <row r="61" ht="12.0" customHeight="1">
      <c r="A61" s="11"/>
      <c r="B61" s="11" t="s">
        <v>630</v>
      </c>
      <c r="C61" s="11">
        <f>IF(C59&lt;10, IF(C59&lt;1, 0.1, 1), IF(C59&lt;100, 10, 100))</f>
        <v>1</v>
      </c>
      <c r="D61" s="11" t="s">
        <v>77</v>
      </c>
      <c r="E61" s="11"/>
      <c r="F61" s="11"/>
      <c r="G61" s="11" t="s">
        <v>630</v>
      </c>
      <c r="H61" s="11">
        <f>IF(H59&lt;10, IF(H59&lt;1, 0.1, 1), IF(H59&lt;100, 10, 100))</f>
        <v>100</v>
      </c>
      <c r="I61" s="11" t="s">
        <v>77</v>
      </c>
      <c r="J61" s="11"/>
      <c r="Q61" s="11"/>
      <c r="R61" s="11"/>
      <c r="S61" s="11"/>
      <c r="T61" s="11"/>
      <c r="U61" s="11"/>
      <c r="V61" s="11"/>
    </row>
    <row r="62" ht="12.0" customHeight="1">
      <c r="A62" s="11"/>
      <c r="B62" s="11" t="s">
        <v>812</v>
      </c>
      <c r="C62" s="11">
        <f>SOA!C61</f>
        <v>1</v>
      </c>
      <c r="D62" s="11"/>
      <c r="E62" s="11"/>
      <c r="F62" s="11"/>
      <c r="G62" s="11" t="s">
        <v>812</v>
      </c>
      <c r="H62" s="11">
        <f>SOA!H61</f>
        <v>100</v>
      </c>
      <c r="I62" s="11"/>
      <c r="J62" s="11"/>
      <c r="Q62" s="11"/>
      <c r="R62" s="11"/>
      <c r="S62" s="11"/>
      <c r="T62" s="11"/>
      <c r="U62" s="11"/>
      <c r="V62" s="11"/>
    </row>
    <row r="63" ht="12.0" customHeight="1">
      <c r="A63" s="11"/>
      <c r="B63" s="11" t="s">
        <v>813</v>
      </c>
      <c r="C63" s="11">
        <f>C61*10</f>
        <v>10</v>
      </c>
      <c r="D63" s="11" t="s">
        <v>77</v>
      </c>
      <c r="E63" s="11"/>
      <c r="F63" s="11"/>
      <c r="G63" s="11" t="s">
        <v>814</v>
      </c>
      <c r="H63" s="11">
        <f>H61*10</f>
        <v>1000</v>
      </c>
      <c r="I63" s="11" t="s">
        <v>77</v>
      </c>
      <c r="J63" s="11"/>
      <c r="Q63" s="11"/>
      <c r="R63" s="11"/>
      <c r="S63" s="11"/>
      <c r="T63" s="11"/>
      <c r="U63" s="11"/>
      <c r="V63" s="11"/>
    </row>
    <row r="64" ht="12.0" customHeight="1">
      <c r="A64" s="11"/>
      <c r="B64" s="11" t="s">
        <v>815</v>
      </c>
      <c r="C64" s="11">
        <f>SOA!C63</f>
        <v>10</v>
      </c>
      <c r="D64" s="11"/>
      <c r="E64" s="11"/>
      <c r="F64" s="11"/>
      <c r="G64" s="11" t="s">
        <v>815</v>
      </c>
      <c r="H64" s="11">
        <f>SOA!H63</f>
        <v>1000</v>
      </c>
      <c r="I64" s="11"/>
      <c r="J64" s="11"/>
      <c r="Q64" s="11"/>
      <c r="R64" s="11"/>
      <c r="S64" s="11"/>
      <c r="T64" s="11"/>
      <c r="U64" s="11"/>
      <c r="V64" s="11"/>
    </row>
    <row r="65" ht="12.0" customHeight="1">
      <c r="A65" s="11"/>
      <c r="B65" s="11" t="s">
        <v>816</v>
      </c>
      <c r="C65" s="143">
        <f>IF(C62=0.01, B55, IF(C62=0.1, C55, IF(C62=1, D55, E55)))</f>
        <v>13.45503614</v>
      </c>
      <c r="D65" s="11" t="s">
        <v>58</v>
      </c>
      <c r="E65" s="11"/>
      <c r="F65" s="11"/>
      <c r="G65" s="11" t="s">
        <v>816</v>
      </c>
      <c r="H65" s="143">
        <f>IF(H62=0.01, B55, IF(H62=0.1, C55, IF(H62=1, D55, IF(H62=10,E55,F55))))</f>
        <v>2.377727406</v>
      </c>
      <c r="I65" s="11"/>
      <c r="J65" s="11"/>
      <c r="Q65" s="11"/>
      <c r="R65" s="11"/>
      <c r="S65" s="11"/>
      <c r="T65" s="11"/>
      <c r="U65" s="11"/>
      <c r="V65" s="11"/>
    </row>
    <row r="66" ht="12.0" customHeight="1">
      <c r="A66" s="11"/>
      <c r="B66" s="11" t="s">
        <v>817</v>
      </c>
      <c r="C66" s="143">
        <f>IF(C64=100, F55, IF(C64=10, E55, IF(C64=1, D55,IF(C64=0.1, C55,B55))))</f>
        <v>4.843587653</v>
      </c>
      <c r="D66" s="11" t="s">
        <v>58</v>
      </c>
      <c r="E66" s="11"/>
      <c r="F66" s="11"/>
      <c r="G66" s="11" t="s">
        <v>817</v>
      </c>
      <c r="H66" s="143">
        <f>IF(H64=100, F55, IF(H64=10, E55, IF(H64=1, D55, IF(H64=0.1,B55,C55))))</f>
        <v>116.6254164</v>
      </c>
      <c r="I66" s="11"/>
      <c r="J66" s="11"/>
      <c r="Q66" s="11"/>
      <c r="R66" s="11"/>
      <c r="S66" s="11"/>
      <c r="T66" s="11"/>
      <c r="U66" s="11"/>
      <c r="V66" s="11"/>
    </row>
    <row r="67" ht="12.0" customHeight="1">
      <c r="A67" s="11"/>
      <c r="B67" s="11"/>
      <c r="C67" s="11"/>
      <c r="D67" s="11"/>
      <c r="E67" s="11"/>
      <c r="F67" s="11"/>
      <c r="G67" s="11"/>
      <c r="H67" s="11"/>
      <c r="I67" s="11"/>
      <c r="J67" s="11"/>
      <c r="Q67" s="11"/>
      <c r="R67" s="11"/>
      <c r="S67" s="11"/>
      <c r="T67" s="11"/>
      <c r="U67" s="11"/>
      <c r="V67" s="11"/>
    </row>
    <row r="68" ht="12.0" customHeight="1">
      <c r="A68" s="11"/>
      <c r="B68" s="11" t="s">
        <v>818</v>
      </c>
      <c r="C68" s="11"/>
      <c r="D68" s="11"/>
      <c r="E68" s="11"/>
      <c r="F68" s="11"/>
      <c r="G68" s="11" t="s">
        <v>818</v>
      </c>
      <c r="H68" s="11"/>
      <c r="I68" s="11"/>
      <c r="J68" s="11"/>
    </row>
    <row r="69" ht="12.0" customHeight="1">
      <c r="A69" s="11"/>
      <c r="B69" s="11" t="s">
        <v>634</v>
      </c>
      <c r="C69" s="11">
        <f>C65/C62^C70</f>
        <v>13.45503614</v>
      </c>
      <c r="D69" s="11"/>
      <c r="E69" s="11"/>
      <c r="F69" s="11"/>
      <c r="G69" s="11" t="s">
        <v>634</v>
      </c>
      <c r="H69" s="11">
        <f>H65/H62^H70</f>
        <v>0.0009883249871</v>
      </c>
      <c r="I69" s="11"/>
      <c r="J69" s="11"/>
    </row>
    <row r="70" ht="12.0" customHeight="1">
      <c r="A70" s="11"/>
      <c r="B70" s="11" t="s">
        <v>635</v>
      </c>
      <c r="C70" s="11">
        <f>LOG(C65/C66)/LOG(C62/C64)</f>
        <v>-0.4437177052</v>
      </c>
      <c r="D70" s="11"/>
      <c r="E70" s="11"/>
      <c r="F70" s="11"/>
      <c r="G70" s="11" t="s">
        <v>635</v>
      </c>
      <c r="H70" s="11">
        <f>IF(H65=H66,1E-12,LOG(H65/H66)/LOG(H62/H64))</f>
        <v>1.690631144</v>
      </c>
      <c r="I70" s="11" t="s">
        <v>819</v>
      </c>
      <c r="J70" s="11"/>
    </row>
    <row r="71" ht="12.0" customHeight="1">
      <c r="A71" s="11"/>
      <c r="B71" s="11" t="s">
        <v>820</v>
      </c>
      <c r="C71" s="11">
        <f>C69*C59^C70</f>
        <v>13.24954052</v>
      </c>
      <c r="D71" s="11" t="s">
        <v>58</v>
      </c>
      <c r="E71" s="11"/>
      <c r="F71" s="11"/>
      <c r="G71" s="11" t="s">
        <v>820</v>
      </c>
      <c r="H71" s="11">
        <f>H69*H59^H70</f>
        <v>4.162815042</v>
      </c>
      <c r="I71" s="11"/>
      <c r="J71" s="11"/>
    </row>
    <row r="72" ht="12.0" customHeight="1">
      <c r="A72" s="11"/>
      <c r="B72" s="11"/>
      <c r="C72" s="11"/>
      <c r="D72" s="11"/>
      <c r="E72" s="11"/>
      <c r="F72" s="11"/>
      <c r="G72" s="11"/>
      <c r="H72" s="11"/>
      <c r="I72" s="11"/>
      <c r="J72" s="11"/>
    </row>
    <row r="73" ht="12.0" customHeight="1">
      <c r="A73" s="11"/>
      <c r="B73" s="235" t="s">
        <v>821</v>
      </c>
      <c r="C73" s="11">
        <f> C71*C60</f>
        <v>397.4862156</v>
      </c>
      <c r="D73" s="11"/>
      <c r="E73" s="11"/>
      <c r="F73" s="11"/>
      <c r="G73" s="235" t="s">
        <v>821</v>
      </c>
      <c r="H73" s="11">
        <f>IF(H59&lt;1, H65, H71)*H60</f>
        <v>124.8844513</v>
      </c>
      <c r="I73" s="11"/>
      <c r="J73" s="11"/>
    </row>
    <row r="74" ht="12.0" customHeight="1">
      <c r="A74" s="11"/>
      <c r="B74" s="11"/>
      <c r="C74" s="11"/>
      <c r="D74" s="11"/>
      <c r="E74" s="11"/>
      <c r="F74" s="11"/>
      <c r="G74" s="11"/>
      <c r="H74" s="11"/>
      <c r="I74" s="11"/>
      <c r="J74" s="11"/>
    </row>
    <row r="75" ht="12.0" customHeight="1">
      <c r="A75" s="11"/>
      <c r="B75" s="11"/>
      <c r="C75" s="11"/>
      <c r="D75" s="11"/>
      <c r="E75" s="11"/>
      <c r="F75" s="11"/>
      <c r="G75" s="11" t="s">
        <v>822</v>
      </c>
      <c r="H75" s="11" t="str">
        <f>'Design Calculator'!F86</f>
        <v>No</v>
      </c>
      <c r="I75" s="11"/>
      <c r="J75" s="11"/>
    </row>
    <row r="76" ht="12.0" customHeight="1">
      <c r="A76" s="11"/>
      <c r="B76" s="252" t="s">
        <v>823</v>
      </c>
      <c r="C76" s="11">
        <f>(C56-TJDC2)/(C56-25)</f>
        <v>0.5600128</v>
      </c>
      <c r="D76" s="262"/>
      <c r="E76" s="262"/>
      <c r="F76" s="262"/>
      <c r="G76" s="11" t="s">
        <v>824</v>
      </c>
      <c r="H76" s="11">
        <f>IF(H75="Yes", TJDC2,TAMB)</f>
        <v>85</v>
      </c>
      <c r="I76" s="11"/>
      <c r="J76" s="11"/>
    </row>
    <row r="77" ht="12.0" customHeight="1">
      <c r="A77" s="11"/>
      <c r="B77" s="235" t="s">
        <v>825</v>
      </c>
      <c r="C77" s="11">
        <f>IF((C73*C76)&lt;0,0.000000001,C73*C76)</f>
        <v>222.5973686</v>
      </c>
      <c r="D77" s="303" t="s">
        <v>88</v>
      </c>
      <c r="E77" s="262"/>
      <c r="F77" s="262"/>
      <c r="G77" s="11"/>
      <c r="H77" s="11"/>
      <c r="I77" s="11"/>
      <c r="J77" s="11"/>
    </row>
    <row r="78" ht="12.0" customHeight="1">
      <c r="A78" s="11"/>
      <c r="B78" s="252"/>
      <c r="C78" s="252"/>
      <c r="D78" s="262"/>
      <c r="E78" s="262"/>
      <c r="F78" s="262"/>
      <c r="G78" s="252" t="s">
        <v>823</v>
      </c>
      <c r="H78" s="11">
        <f>(C56-H76)/(C56-25)</f>
        <v>0.6</v>
      </c>
      <c r="I78" s="11"/>
      <c r="J78" s="11"/>
    </row>
    <row r="79" ht="12.0" customHeight="1">
      <c r="A79" s="11"/>
      <c r="B79" s="252"/>
      <c r="C79" s="11"/>
      <c r="D79" s="262"/>
      <c r="E79" s="262"/>
      <c r="F79" s="262"/>
      <c r="G79" s="235" t="s">
        <v>825</v>
      </c>
      <c r="H79" s="11">
        <f>IF((H73*H78)&lt;0,0.000000001,H73*H78)</f>
        <v>74.93067075</v>
      </c>
      <c r="I79" s="11"/>
      <c r="J79" s="11"/>
    </row>
    <row r="80" ht="12.0" customHeight="1">
      <c r="A80" s="11"/>
      <c r="B80" s="252" t="s">
        <v>826</v>
      </c>
      <c r="C80" s="11"/>
      <c r="D80" s="262"/>
      <c r="E80" s="262"/>
      <c r="F80" s="262"/>
      <c r="G80" s="11"/>
      <c r="H80" s="11"/>
      <c r="I80" s="143"/>
      <c r="J80" s="143"/>
    </row>
    <row r="81" ht="12.0" customHeight="1">
      <c r="A81" s="11"/>
      <c r="B81" s="11"/>
      <c r="C81" s="287" t="s">
        <v>827</v>
      </c>
      <c r="D81" s="304" t="s">
        <v>828</v>
      </c>
      <c r="E81" s="304" t="s">
        <v>829</v>
      </c>
      <c r="F81" s="304" t="s">
        <v>830</v>
      </c>
      <c r="G81" s="262"/>
      <c r="H81" s="11"/>
      <c r="I81" s="143"/>
      <c r="J81" s="143"/>
    </row>
    <row r="82" ht="12.0" customHeight="1">
      <c r="A82" s="11"/>
      <c r="B82" s="252" t="s">
        <v>831</v>
      </c>
      <c r="C82" s="252">
        <v>0.01</v>
      </c>
      <c r="D82" s="252">
        <v>0.1</v>
      </c>
      <c r="E82" s="262">
        <v>1.0</v>
      </c>
      <c r="F82" s="252">
        <v>10.0</v>
      </c>
      <c r="G82" s="300"/>
      <c r="H82" s="11"/>
      <c r="I82" s="11"/>
      <c r="J82" s="11"/>
    </row>
    <row r="83" ht="12.0" customHeight="1">
      <c r="A83" s="11"/>
      <c r="B83" s="252" t="s">
        <v>832</v>
      </c>
      <c r="C83" s="252">
        <v>0.1</v>
      </c>
      <c r="D83" s="252">
        <v>1.0</v>
      </c>
      <c r="E83" s="262">
        <v>10.0</v>
      </c>
      <c r="F83" s="252">
        <v>100.0</v>
      </c>
      <c r="G83" s="235"/>
      <c r="H83" s="11"/>
      <c r="I83" s="11"/>
      <c r="J83" s="11"/>
    </row>
    <row r="84" ht="12.0" customHeight="1">
      <c r="A84" s="11"/>
      <c r="B84" s="252" t="s">
        <v>634</v>
      </c>
      <c r="C84" s="252">
        <f t="shared" ref="C84:F84" si="4">B55/(C82^C85)</f>
        <v>34.00371939</v>
      </c>
      <c r="D84" s="252">
        <f t="shared" si="4"/>
        <v>13.45503614</v>
      </c>
      <c r="E84" s="252">
        <f t="shared" si="4"/>
        <v>13.45503614</v>
      </c>
      <c r="F84" s="252">
        <f t="shared" si="4"/>
        <v>9.86670772</v>
      </c>
      <c r="G84" s="11"/>
      <c r="H84" s="11"/>
      <c r="I84" s="11"/>
      <c r="J84" s="11"/>
    </row>
    <row r="85" ht="12.0" customHeight="1">
      <c r="A85" s="11"/>
      <c r="B85" s="252" t="s">
        <v>635</v>
      </c>
      <c r="C85" s="262">
        <f t="shared" ref="C85:F85" si="5">LOG(B55/C55)/LOG(C82/C83)</f>
        <v>-0.5352667838</v>
      </c>
      <c r="D85" s="262">
        <f t="shared" si="5"/>
        <v>-0.9379083388</v>
      </c>
      <c r="E85" s="262">
        <f t="shared" si="5"/>
        <v>-0.4437177052</v>
      </c>
      <c r="F85" s="262">
        <f t="shared" si="5"/>
        <v>-0.3090050999</v>
      </c>
      <c r="G85" s="11"/>
      <c r="H85" s="11"/>
      <c r="I85" s="11"/>
      <c r="J85" s="11"/>
    </row>
    <row r="86" ht="12.0" customHeight="1">
      <c r="A86" s="11"/>
      <c r="B86" s="252"/>
      <c r="C86" s="262"/>
      <c r="D86" s="262"/>
      <c r="E86" s="262"/>
      <c r="F86" s="262"/>
      <c r="G86" s="11"/>
      <c r="H86" s="11"/>
      <c r="I86" s="11"/>
      <c r="J86" s="11"/>
    </row>
    <row r="87" ht="12.0" customHeight="1">
      <c r="A87" s="11"/>
      <c r="B87" s="305" t="s">
        <v>833</v>
      </c>
      <c r="C87" s="11"/>
      <c r="D87" s="262"/>
      <c r="E87" s="262"/>
      <c r="F87" s="262"/>
      <c r="G87" s="11"/>
      <c r="H87" s="11"/>
      <c r="I87" s="11"/>
      <c r="J87" s="11"/>
    </row>
    <row r="88" ht="12.0" customHeight="1">
      <c r="A88" s="11"/>
      <c r="B88" s="306" t="s">
        <v>840</v>
      </c>
      <c r="C88" s="307" t="s">
        <v>841</v>
      </c>
      <c r="D88" s="262"/>
      <c r="E88" s="262"/>
      <c r="F88" s="262"/>
      <c r="G88" s="11"/>
      <c r="H88" s="11"/>
      <c r="I88" s="11"/>
      <c r="J88" s="11"/>
    </row>
    <row r="89" ht="12.0" customHeight="1">
      <c r="A89" s="11"/>
      <c r="B89" s="308" t="s">
        <v>836</v>
      </c>
      <c r="C89" s="309" t="s">
        <v>837</v>
      </c>
      <c r="D89" s="262"/>
      <c r="E89" s="262"/>
      <c r="F89" s="262"/>
      <c r="G89" s="11"/>
      <c r="H89" s="11"/>
      <c r="I89" s="11"/>
      <c r="J89" s="11"/>
    </row>
    <row r="90" ht="12.0" customHeight="1">
      <c r="A90" s="11"/>
      <c r="B90" s="310">
        <v>1.0</v>
      </c>
      <c r="C90" s="311">
        <f t="shared" ref="C90:C95" si="6">$C$77/B90</f>
        <v>222.5973686</v>
      </c>
      <c r="D90" s="262"/>
      <c r="E90" s="262"/>
      <c r="F90" s="262"/>
      <c r="G90" s="11"/>
      <c r="H90" s="11"/>
      <c r="I90" s="11"/>
      <c r="J90" s="11"/>
      <c r="Q90" s="11"/>
    </row>
    <row r="91" ht="12.0" customHeight="1">
      <c r="A91" s="11"/>
      <c r="B91" s="310">
        <v>1.2</v>
      </c>
      <c r="C91" s="311">
        <f t="shared" si="6"/>
        <v>185.4978071</v>
      </c>
      <c r="D91" s="262"/>
      <c r="E91" s="262"/>
      <c r="F91" s="262"/>
      <c r="G91" s="11"/>
      <c r="H91" s="11"/>
      <c r="I91" s="11"/>
      <c r="J91" s="11"/>
      <c r="Q91" s="11"/>
    </row>
    <row r="92" ht="12.0" customHeight="1">
      <c r="A92" s="11"/>
      <c r="B92" s="310">
        <v>30.0</v>
      </c>
      <c r="C92" s="311">
        <f t="shared" si="6"/>
        <v>7.419912285</v>
      </c>
      <c r="D92" s="262"/>
      <c r="E92" s="262"/>
      <c r="F92" s="262"/>
      <c r="G92" s="11"/>
      <c r="H92" s="11"/>
      <c r="I92" s="11"/>
      <c r="J92" s="11"/>
      <c r="Q92" s="11"/>
    </row>
    <row r="93" ht="12.0" customHeight="1">
      <c r="A93" s="11"/>
      <c r="B93" s="310">
        <v>60.0</v>
      </c>
      <c r="C93" s="311">
        <f t="shared" si="6"/>
        <v>3.709956143</v>
      </c>
      <c r="D93" s="262"/>
      <c r="E93" s="262"/>
      <c r="F93" s="262"/>
      <c r="G93" s="11"/>
      <c r="H93" s="11"/>
      <c r="I93" s="11"/>
      <c r="J93" s="11"/>
      <c r="Q93" s="11"/>
    </row>
    <row r="94" ht="12.0" customHeight="1">
      <c r="A94" s="11"/>
      <c r="B94" s="310">
        <v>80.0</v>
      </c>
      <c r="C94" s="311">
        <f t="shared" si="6"/>
        <v>2.782467107</v>
      </c>
      <c r="D94" s="262"/>
      <c r="E94" s="262"/>
      <c r="F94" s="262"/>
      <c r="G94" s="11"/>
      <c r="H94" s="11"/>
      <c r="I94" s="11"/>
      <c r="J94" s="11"/>
      <c r="Q94" s="11"/>
    </row>
    <row r="95" ht="12.0" customHeight="1">
      <c r="A95" s="11"/>
      <c r="B95" s="312">
        <v>100.0</v>
      </c>
      <c r="C95" s="313">
        <f t="shared" si="6"/>
        <v>2.225973686</v>
      </c>
      <c r="D95" s="11"/>
      <c r="E95" s="262"/>
      <c r="F95" s="11"/>
      <c r="G95" s="11"/>
      <c r="H95" s="11"/>
      <c r="I95" s="11"/>
      <c r="J95" s="11"/>
      <c r="Q95" s="11"/>
    </row>
    <row r="96" ht="12.0" customHeight="1">
      <c r="A96" s="11"/>
      <c r="B96" s="11"/>
      <c r="C96" s="11"/>
      <c r="D96" s="11"/>
      <c r="E96" s="262"/>
      <c r="F96" s="11"/>
      <c r="G96" s="11"/>
      <c r="H96" s="11"/>
      <c r="I96" s="11"/>
      <c r="J96" s="11"/>
      <c r="Q96" s="11"/>
    </row>
    <row r="97" ht="12.0" customHeight="1">
      <c r="Q97" s="11"/>
    </row>
    <row r="98" ht="12.0" customHeight="1">
      <c r="Q98" s="11"/>
    </row>
    <row r="99" ht="12.0" customHeight="1">
      <c r="A99" s="296" t="s">
        <v>842</v>
      </c>
      <c r="B99" s="11"/>
      <c r="C99" s="11"/>
      <c r="D99" s="11"/>
      <c r="E99" s="11"/>
      <c r="F99" s="11"/>
      <c r="G99" s="11"/>
      <c r="H99" s="11"/>
      <c r="I99" s="11"/>
      <c r="J99" s="11"/>
      <c r="Q99" s="11"/>
    </row>
    <row r="100" ht="12.0" customHeight="1">
      <c r="A100" s="11"/>
      <c r="B100" s="11"/>
      <c r="C100" s="11"/>
      <c r="D100" s="11"/>
      <c r="E100" s="11"/>
      <c r="F100" s="11"/>
      <c r="G100" s="11"/>
      <c r="H100" s="11"/>
      <c r="I100" s="11"/>
      <c r="J100" s="11"/>
      <c r="Q100" s="11"/>
    </row>
    <row r="101" ht="12.0" customHeight="1">
      <c r="A101" s="295"/>
      <c r="B101" s="280" t="s">
        <v>797</v>
      </c>
      <c r="C101" s="297"/>
      <c r="D101" s="297"/>
      <c r="E101" s="297"/>
      <c r="F101" s="294"/>
      <c r="G101" s="252"/>
      <c r="H101" s="11" t="s">
        <v>798</v>
      </c>
      <c r="I101" s="11"/>
      <c r="J101" s="11"/>
      <c r="Q101" s="11"/>
    </row>
    <row r="102" ht="12.0" customHeight="1">
      <c r="A102" s="295"/>
      <c r="B102" s="295" t="s">
        <v>799</v>
      </c>
      <c r="C102" s="295" t="s">
        <v>800</v>
      </c>
      <c r="D102" s="295" t="s">
        <v>801</v>
      </c>
      <c r="E102" s="295" t="s">
        <v>802</v>
      </c>
      <c r="F102" s="295" t="s">
        <v>803</v>
      </c>
      <c r="G102" s="11"/>
      <c r="H102" s="11" t="s">
        <v>804</v>
      </c>
      <c r="I102" s="252"/>
      <c r="J102" s="252"/>
      <c r="Q102" s="11"/>
    </row>
    <row r="103" ht="12.0" customHeight="1">
      <c r="A103" s="295" t="s">
        <v>805</v>
      </c>
      <c r="B103" s="298">
        <f>'Design Calculator'!H57</f>
        <v>200</v>
      </c>
      <c r="C103" s="298">
        <f>'Design Calculator'!H58</f>
        <v>200</v>
      </c>
      <c r="D103" s="298">
        <f>'Design Calculator'!H59</f>
        <v>15</v>
      </c>
      <c r="E103" s="298">
        <f>'Design Calculator'!H60</f>
        <v>3</v>
      </c>
      <c r="F103" s="298">
        <f>'Design Calculator'!H61</f>
        <v>0.65</v>
      </c>
      <c r="G103" s="143"/>
      <c r="H103" s="11" t="s">
        <v>806</v>
      </c>
      <c r="I103" s="252"/>
      <c r="J103" s="252"/>
      <c r="Q103" s="11"/>
    </row>
    <row r="104" ht="12.0" customHeight="1">
      <c r="A104" s="11"/>
      <c r="B104" s="235" t="s">
        <v>333</v>
      </c>
      <c r="C104" s="235">
        <f>'Design Calculator'!H56</f>
        <v>175</v>
      </c>
      <c r="D104" s="299" t="s">
        <v>843</v>
      </c>
      <c r="E104" s="262"/>
      <c r="F104" s="262"/>
      <c r="G104" s="262"/>
      <c r="H104" s="11"/>
      <c r="I104" s="252"/>
      <c r="J104" s="252"/>
      <c r="Q104" s="11"/>
    </row>
    <row r="105" ht="12.0" customHeight="1">
      <c r="A105" s="11"/>
      <c r="B105" s="11"/>
      <c r="C105" s="252"/>
      <c r="D105" s="262"/>
      <c r="E105" s="262"/>
      <c r="F105" s="262"/>
      <c r="G105" s="262"/>
      <c r="H105" s="11"/>
      <c r="I105" s="252"/>
      <c r="J105" s="252"/>
      <c r="Q105" s="11"/>
    </row>
    <row r="106" ht="12.0" customHeight="1">
      <c r="A106" s="11"/>
      <c r="B106" s="287" t="s">
        <v>808</v>
      </c>
      <c r="C106" s="11"/>
      <c r="D106" s="11"/>
      <c r="E106" s="11"/>
      <c r="F106" s="11"/>
      <c r="G106" s="300" t="s">
        <v>809</v>
      </c>
      <c r="H106" s="11"/>
      <c r="I106" s="11"/>
      <c r="J106" s="264"/>
      <c r="Q106" s="11"/>
    </row>
    <row r="107" ht="12.0" customHeight="1">
      <c r="A107" s="11"/>
      <c r="B107" s="11" t="s">
        <v>810</v>
      </c>
      <c r="C107" s="143">
        <f>IF('Design Calculator'!F30="Power Limit", 'Design Calculator'!$F$84,'Design Calculator'!F97)</f>
        <v>1.035294118</v>
      </c>
      <c r="D107" s="11" t="s">
        <v>77</v>
      </c>
      <c r="E107" s="11"/>
      <c r="F107" s="11"/>
      <c r="G107" s="11" t="s">
        <v>810</v>
      </c>
      <c r="H107" s="289">
        <f>Equations!H73</f>
        <v>139.2728365</v>
      </c>
      <c r="I107" s="11" t="s">
        <v>77</v>
      </c>
      <c r="J107" s="252"/>
      <c r="Q107" s="11"/>
    </row>
    <row r="108" ht="12.0" customHeight="1">
      <c r="A108" s="11"/>
      <c r="B108" s="11" t="s">
        <v>811</v>
      </c>
      <c r="C108" s="11">
        <f>VINMAX</f>
        <v>30</v>
      </c>
      <c r="D108" s="11" t="s">
        <v>54</v>
      </c>
      <c r="E108" s="11"/>
      <c r="F108" s="11"/>
      <c r="G108" s="11" t="s">
        <v>811</v>
      </c>
      <c r="H108" s="11">
        <f>VINMAX</f>
        <v>30</v>
      </c>
      <c r="I108" s="11" t="s">
        <v>54</v>
      </c>
      <c r="J108" s="11"/>
      <c r="Q108" s="11"/>
    </row>
    <row r="109" ht="12.0" customHeight="1">
      <c r="A109" s="11"/>
      <c r="B109" s="11" t="s">
        <v>630</v>
      </c>
      <c r="C109" s="11">
        <f>IF(C107&lt;10, IF(C107&lt;1, 0.1, 1), IF(C107&lt;100, 10, 100))</f>
        <v>1</v>
      </c>
      <c r="D109" s="11" t="s">
        <v>77</v>
      </c>
      <c r="E109" s="11"/>
      <c r="F109" s="11"/>
      <c r="G109" s="11" t="s">
        <v>630</v>
      </c>
      <c r="H109" s="11">
        <f>IF(H107&lt;10, IF(H107&lt;1, 0.1, 1), IF(H107&lt;100, 10, 100))</f>
        <v>100</v>
      </c>
      <c r="I109" s="11" t="s">
        <v>77</v>
      </c>
      <c r="J109" s="11"/>
      <c r="Q109" s="11"/>
    </row>
    <row r="110" ht="12.0" customHeight="1">
      <c r="A110" s="11"/>
      <c r="B110" s="11" t="s">
        <v>812</v>
      </c>
      <c r="C110" s="11">
        <f>SOA!C109</f>
        <v>1</v>
      </c>
      <c r="D110" s="11"/>
      <c r="E110" s="11"/>
      <c r="F110" s="11"/>
      <c r="G110" s="11" t="s">
        <v>812</v>
      </c>
      <c r="H110" s="11">
        <f>SOA!H109</f>
        <v>100</v>
      </c>
      <c r="I110" s="11"/>
      <c r="J110" s="11"/>
      <c r="Q110" s="11"/>
    </row>
    <row r="111" ht="12.0" customHeight="1">
      <c r="A111" s="11"/>
      <c r="B111" s="11" t="s">
        <v>813</v>
      </c>
      <c r="C111" s="11">
        <f>C109*10</f>
        <v>10</v>
      </c>
      <c r="D111" s="11" t="s">
        <v>77</v>
      </c>
      <c r="E111" s="11"/>
      <c r="F111" s="11"/>
      <c r="G111" s="11" t="s">
        <v>814</v>
      </c>
      <c r="H111" s="11">
        <f>H109*10</f>
        <v>1000</v>
      </c>
      <c r="I111" s="11" t="s">
        <v>77</v>
      </c>
      <c r="J111" s="11"/>
      <c r="Q111" s="11"/>
    </row>
    <row r="112" ht="12.0" customHeight="1">
      <c r="A112" s="11"/>
      <c r="B112" s="11" t="s">
        <v>815</v>
      </c>
      <c r="C112" s="11">
        <f>SOA!C111</f>
        <v>10</v>
      </c>
      <c r="D112" s="11"/>
      <c r="E112" s="11"/>
      <c r="F112" s="11"/>
      <c r="G112" s="11" t="s">
        <v>815</v>
      </c>
      <c r="H112" s="11">
        <f>SOA!H111</f>
        <v>1000</v>
      </c>
      <c r="I112" s="11"/>
      <c r="J112" s="11"/>
      <c r="Q112" s="11"/>
    </row>
    <row r="113" ht="12.0" customHeight="1">
      <c r="A113" s="11"/>
      <c r="B113" s="11" t="s">
        <v>816</v>
      </c>
      <c r="C113" s="143">
        <f>IF(C110=0.01, B103, IF(C110=0.1, C103, IF(C110=1, D103, E103)))</f>
        <v>15</v>
      </c>
      <c r="D113" s="11" t="s">
        <v>58</v>
      </c>
      <c r="E113" s="11"/>
      <c r="F113" s="11"/>
      <c r="G113" s="11" t="s">
        <v>816</v>
      </c>
      <c r="H113" s="143">
        <f>IF(H110=0.01, B103, IF(H110=0.1, C103, IF(H110=1, D103, IF(H110=10,E103,F103))))</f>
        <v>0.65</v>
      </c>
      <c r="I113" s="11"/>
      <c r="J113" s="11"/>
      <c r="Q113" s="11"/>
    </row>
    <row r="114" ht="12.0" customHeight="1">
      <c r="A114" s="11"/>
      <c r="B114" s="11" t="s">
        <v>817</v>
      </c>
      <c r="C114" s="143">
        <f>IF(C112=100, F103, IF(C112=10, E103, IF(C112=1, D103,IF(C112=0.1, C103,B103))))</f>
        <v>3</v>
      </c>
      <c r="D114" s="11" t="s">
        <v>58</v>
      </c>
      <c r="E114" s="11"/>
      <c r="F114" s="11"/>
      <c r="G114" s="11" t="s">
        <v>817</v>
      </c>
      <c r="H114" s="143">
        <f>IF(H112=100, F103, IF(H112=10, E103, IF(H112=1, D103, IF(H112=0.1,B103,C103))))</f>
        <v>200</v>
      </c>
      <c r="I114" s="11"/>
      <c r="J114" s="11"/>
      <c r="Q114" s="11"/>
    </row>
    <row r="115" ht="12.0" customHeight="1">
      <c r="A115" s="11"/>
      <c r="B115" s="11"/>
      <c r="C115" s="11"/>
      <c r="D115" s="11"/>
      <c r="E115" s="11"/>
      <c r="F115" s="11"/>
      <c r="G115" s="11"/>
      <c r="H115" s="11"/>
      <c r="I115" s="11"/>
      <c r="J115" s="11"/>
      <c r="Q115" s="11"/>
    </row>
    <row r="116" ht="12.0" customHeight="1">
      <c r="A116" s="11"/>
      <c r="B116" s="11" t="s">
        <v>818</v>
      </c>
      <c r="C116" s="11"/>
      <c r="D116" s="11"/>
      <c r="E116" s="11"/>
      <c r="F116" s="11"/>
      <c r="G116" s="11" t="s">
        <v>818</v>
      </c>
      <c r="H116" s="11"/>
      <c r="I116" s="11"/>
      <c r="J116" s="11"/>
      <c r="Q116" s="11"/>
    </row>
    <row r="117" ht="12.0" customHeight="1">
      <c r="A117" s="11"/>
      <c r="B117" s="11" t="s">
        <v>634</v>
      </c>
      <c r="C117" s="11">
        <f>C113/C110^C118</f>
        <v>15</v>
      </c>
      <c r="D117" s="11"/>
      <c r="E117" s="11"/>
      <c r="F117" s="11"/>
      <c r="G117" s="11" t="s">
        <v>634</v>
      </c>
      <c r="H117" s="11">
        <f>H113/H110^H118</f>
        <v>0.000006865625</v>
      </c>
      <c r="I117" s="11"/>
      <c r="J117" s="11"/>
      <c r="Q117" s="11"/>
    </row>
    <row r="118" ht="12.0" customHeight="1">
      <c r="A118" s="11"/>
      <c r="B118" s="11" t="s">
        <v>635</v>
      </c>
      <c r="C118" s="11">
        <f>LOG(C113/C114)/LOG(C110/C112)</f>
        <v>-0.6989700043</v>
      </c>
      <c r="D118" s="11"/>
      <c r="E118" s="11"/>
      <c r="F118" s="11"/>
      <c r="G118" s="11" t="s">
        <v>635</v>
      </c>
      <c r="H118" s="11">
        <f>IF(H113=H114,1E-12,LOG(H113/H114)/LOG(H110/H112))</f>
        <v>2.488116639</v>
      </c>
      <c r="I118" s="11" t="s">
        <v>819</v>
      </c>
      <c r="J118" s="11"/>
      <c r="Q118" s="11"/>
    </row>
    <row r="119" ht="12.0" customHeight="1">
      <c r="A119" s="11"/>
      <c r="B119" s="11" t="s">
        <v>820</v>
      </c>
      <c r="C119" s="11">
        <f>C117*C107^C118</f>
        <v>14.64071047</v>
      </c>
      <c r="D119" s="11" t="s">
        <v>58</v>
      </c>
      <c r="E119" s="11"/>
      <c r="F119" s="11"/>
      <c r="G119" s="11" t="s">
        <v>820</v>
      </c>
      <c r="H119" s="11">
        <f>H117*H107^H118</f>
        <v>1.482073671</v>
      </c>
      <c r="I119" s="11"/>
      <c r="J119" s="11"/>
      <c r="Q119" s="11"/>
    </row>
    <row r="120" ht="12.0" customHeight="1">
      <c r="A120" s="11"/>
      <c r="B120" s="11"/>
      <c r="C120" s="11"/>
      <c r="D120" s="11"/>
      <c r="E120" s="11"/>
      <c r="F120" s="11"/>
      <c r="G120" s="11"/>
      <c r="H120" s="11"/>
      <c r="I120" s="11"/>
      <c r="J120" s="11"/>
      <c r="Q120" s="11"/>
    </row>
    <row r="121" ht="12.0" customHeight="1">
      <c r="A121" s="11"/>
      <c r="B121" s="235" t="s">
        <v>821</v>
      </c>
      <c r="C121" s="11">
        <f> C119*C108</f>
        <v>439.221314</v>
      </c>
      <c r="D121" s="11"/>
      <c r="E121" s="11"/>
      <c r="F121" s="11"/>
      <c r="G121" s="235" t="s">
        <v>821</v>
      </c>
      <c r="H121" s="11">
        <f>IF(H107&lt;1, H113, H119)*H108</f>
        <v>44.46221014</v>
      </c>
      <c r="I121" s="11"/>
      <c r="J121" s="11"/>
      <c r="Q121" s="11"/>
    </row>
    <row r="122" ht="12.0" customHeight="1">
      <c r="A122" s="11"/>
      <c r="B122" s="11"/>
      <c r="C122" s="11"/>
      <c r="D122" s="11"/>
      <c r="E122" s="11"/>
      <c r="F122" s="11"/>
      <c r="G122" s="11"/>
      <c r="H122" s="11"/>
      <c r="I122" s="11"/>
      <c r="J122" s="11"/>
      <c r="Q122" s="11"/>
    </row>
    <row r="123" ht="12.0" customHeight="1">
      <c r="A123" s="11"/>
      <c r="B123" s="11"/>
      <c r="C123" s="11"/>
      <c r="D123" s="11"/>
      <c r="E123" s="11"/>
      <c r="F123" s="11"/>
      <c r="G123" s="11" t="s">
        <v>822</v>
      </c>
      <c r="H123" s="11" t="str">
        <f>'Design Calculator'!F86</f>
        <v>No</v>
      </c>
      <c r="I123" s="11"/>
      <c r="J123" s="11"/>
      <c r="Q123" s="11"/>
    </row>
    <row r="124" ht="12.0" customHeight="1">
      <c r="A124" s="11"/>
      <c r="B124" s="252" t="s">
        <v>823</v>
      </c>
      <c r="C124" s="11">
        <f>(C104-TJDC3)/(C104-25)</f>
        <v>0.5424</v>
      </c>
      <c r="D124" s="262"/>
      <c r="E124" s="262"/>
      <c r="F124" s="262"/>
      <c r="G124" s="11" t="s">
        <v>824</v>
      </c>
      <c r="H124" s="11">
        <f>IF(H123="Yes", TJDC3,TAMB)</f>
        <v>85</v>
      </c>
      <c r="I124" s="11"/>
      <c r="J124" s="11"/>
      <c r="Q124" s="11"/>
    </row>
    <row r="125" ht="12.0" customHeight="1">
      <c r="A125" s="11"/>
      <c r="B125" s="235" t="s">
        <v>825</v>
      </c>
      <c r="C125" s="11">
        <f>IF((C121*C124)&lt;0,0.000000001,C121*C124)</f>
        <v>238.2336407</v>
      </c>
      <c r="D125" s="303" t="s">
        <v>88</v>
      </c>
      <c r="E125" s="262"/>
      <c r="F125" s="262"/>
      <c r="G125" s="11"/>
      <c r="H125" s="11"/>
      <c r="I125" s="11"/>
      <c r="J125" s="11"/>
    </row>
    <row r="126" ht="12.0" customHeight="1">
      <c r="A126" s="11"/>
      <c r="B126" s="252"/>
      <c r="C126" s="252"/>
      <c r="D126" s="262"/>
      <c r="E126" s="262"/>
      <c r="F126" s="262"/>
      <c r="G126" s="252" t="s">
        <v>823</v>
      </c>
      <c r="H126" s="11">
        <f>(C104-H124)/(C104-25)</f>
        <v>0.6</v>
      </c>
      <c r="I126" s="11"/>
      <c r="J126" s="11"/>
    </row>
    <row r="127" ht="12.0" customHeight="1">
      <c r="A127" s="11"/>
      <c r="B127" s="252"/>
      <c r="C127" s="11"/>
      <c r="D127" s="262"/>
      <c r="E127" s="262"/>
      <c r="F127" s="262"/>
      <c r="G127" s="235" t="s">
        <v>825</v>
      </c>
      <c r="H127" s="11">
        <f>IF((H121*H126)&lt;0,0.000000001,H121*H126)</f>
        <v>26.67732608</v>
      </c>
      <c r="I127" s="11"/>
      <c r="J127" s="11"/>
    </row>
    <row r="128" ht="12.0" customHeight="1">
      <c r="A128" s="11"/>
      <c r="B128" s="252" t="s">
        <v>826</v>
      </c>
      <c r="C128" s="11"/>
      <c r="D128" s="262"/>
      <c r="E128" s="262"/>
      <c r="F128" s="262"/>
      <c r="G128" s="11"/>
      <c r="H128" s="11"/>
      <c r="I128" s="143"/>
      <c r="J128" s="143"/>
    </row>
    <row r="129" ht="12.0" customHeight="1">
      <c r="A129" s="11"/>
      <c r="B129" s="11"/>
      <c r="C129" s="287" t="s">
        <v>827</v>
      </c>
      <c r="D129" s="304" t="s">
        <v>828</v>
      </c>
      <c r="E129" s="304" t="s">
        <v>829</v>
      </c>
      <c r="F129" s="304" t="s">
        <v>830</v>
      </c>
      <c r="G129" s="262"/>
      <c r="H129" s="11"/>
      <c r="I129" s="143"/>
      <c r="J129" s="143"/>
    </row>
    <row r="130" ht="12.0" customHeight="1">
      <c r="A130" s="11"/>
      <c r="B130" s="252" t="s">
        <v>831</v>
      </c>
      <c r="C130" s="252">
        <v>0.01</v>
      </c>
      <c r="D130" s="252">
        <v>0.1</v>
      </c>
      <c r="E130" s="262">
        <v>1.0</v>
      </c>
      <c r="F130" s="252">
        <v>10.0</v>
      </c>
      <c r="G130" s="300"/>
      <c r="H130" s="11"/>
      <c r="I130" s="11"/>
      <c r="J130" s="11"/>
    </row>
    <row r="131" ht="12.0" customHeight="1">
      <c r="A131" s="11"/>
      <c r="B131" s="252" t="s">
        <v>832</v>
      </c>
      <c r="C131" s="252">
        <v>0.1</v>
      </c>
      <c r="D131" s="252">
        <v>1.0</v>
      </c>
      <c r="E131" s="262">
        <v>10.0</v>
      </c>
      <c r="F131" s="252">
        <v>100.0</v>
      </c>
      <c r="G131" s="235"/>
      <c r="H131" s="11"/>
      <c r="I131" s="11"/>
      <c r="J131" s="11"/>
    </row>
    <row r="132" ht="12.0" customHeight="1">
      <c r="A132" s="11"/>
      <c r="B132" s="252" t="s">
        <v>634</v>
      </c>
      <c r="C132" s="252">
        <f t="shared" ref="C132:F132" si="7">B103/(C130^C133)</f>
        <v>200</v>
      </c>
      <c r="D132" s="252">
        <f t="shared" si="7"/>
        <v>15</v>
      </c>
      <c r="E132" s="252">
        <f t="shared" si="7"/>
        <v>15</v>
      </c>
      <c r="F132" s="252">
        <f t="shared" si="7"/>
        <v>13.84615385</v>
      </c>
      <c r="G132" s="11"/>
      <c r="H132" s="11"/>
      <c r="I132" s="11"/>
      <c r="J132" s="11"/>
    </row>
    <row r="133" ht="12.0" customHeight="1">
      <c r="A133" s="11"/>
      <c r="B133" s="252" t="s">
        <v>635</v>
      </c>
      <c r="C133" s="262">
        <f t="shared" ref="C133:F133" si="8">LOG(B103/C103)/LOG(C130/C131)</f>
        <v>0</v>
      </c>
      <c r="D133" s="262">
        <f t="shared" si="8"/>
        <v>-1.124938737</v>
      </c>
      <c r="E133" s="262">
        <f t="shared" si="8"/>
        <v>-0.6989700043</v>
      </c>
      <c r="F133" s="262">
        <f t="shared" si="8"/>
        <v>-0.6642078981</v>
      </c>
      <c r="G133" s="11"/>
      <c r="H133" s="11"/>
      <c r="I133" s="11"/>
      <c r="J133" s="11"/>
    </row>
    <row r="134" ht="12.0" customHeight="1">
      <c r="A134" s="11"/>
      <c r="B134" s="252"/>
      <c r="C134" s="262"/>
      <c r="D134" s="262"/>
      <c r="E134" s="262"/>
      <c r="F134" s="262"/>
      <c r="G134" s="11"/>
      <c r="H134" s="11"/>
      <c r="I134" s="11"/>
      <c r="J134" s="11"/>
    </row>
    <row r="135" ht="12.0" customHeight="1">
      <c r="A135" s="11"/>
      <c r="B135" s="305" t="s">
        <v>833</v>
      </c>
      <c r="C135" s="11"/>
      <c r="D135" s="262"/>
      <c r="E135" s="262"/>
      <c r="F135" s="262"/>
      <c r="G135" s="11"/>
      <c r="H135" s="11"/>
      <c r="I135" s="11"/>
      <c r="J135" s="11"/>
    </row>
    <row r="136" ht="12.0" customHeight="1">
      <c r="A136" s="11"/>
      <c r="B136" s="306" t="s">
        <v>844</v>
      </c>
      <c r="C136" s="307" t="s">
        <v>845</v>
      </c>
      <c r="D136" s="262"/>
      <c r="E136" s="262"/>
      <c r="F136" s="262"/>
      <c r="G136" s="11"/>
      <c r="H136" s="11"/>
      <c r="I136" s="11"/>
      <c r="J136" s="11"/>
    </row>
    <row r="137" ht="12.0" customHeight="1">
      <c r="A137" s="11"/>
      <c r="B137" s="308" t="s">
        <v>836</v>
      </c>
      <c r="C137" s="309" t="s">
        <v>837</v>
      </c>
      <c r="D137" s="262"/>
      <c r="E137" s="262"/>
      <c r="F137" s="262"/>
      <c r="G137" s="11"/>
      <c r="H137" s="11"/>
      <c r="I137" s="11"/>
      <c r="J137" s="11"/>
    </row>
    <row r="138" ht="12.0" customHeight="1">
      <c r="A138" s="11"/>
      <c r="B138" s="310">
        <v>1.0</v>
      </c>
      <c r="C138" s="311">
        <f t="shared" ref="C138:C143" si="9">$C$125/B138</f>
        <v>238.2336407</v>
      </c>
      <c r="D138" s="262"/>
      <c r="E138" s="262"/>
      <c r="F138" s="262"/>
      <c r="G138" s="11"/>
      <c r="H138" s="11"/>
      <c r="I138" s="11"/>
      <c r="J138" s="11"/>
    </row>
    <row r="139" ht="12.0" customHeight="1">
      <c r="A139" s="11"/>
      <c r="B139" s="310">
        <v>1.2</v>
      </c>
      <c r="C139" s="311">
        <f t="shared" si="9"/>
        <v>198.5280339</v>
      </c>
      <c r="D139" s="262"/>
      <c r="E139" s="262"/>
      <c r="F139" s="262"/>
      <c r="G139" s="11"/>
      <c r="H139" s="11"/>
      <c r="I139" s="11"/>
      <c r="J139" s="11"/>
    </row>
    <row r="140" ht="12.0" customHeight="1">
      <c r="A140" s="11"/>
      <c r="B140" s="310">
        <v>30.0</v>
      </c>
      <c r="C140" s="311">
        <f t="shared" si="9"/>
        <v>7.941121357</v>
      </c>
      <c r="D140" s="262"/>
      <c r="E140" s="262"/>
      <c r="F140" s="262"/>
      <c r="G140" s="11"/>
      <c r="H140" s="11"/>
      <c r="I140" s="11"/>
      <c r="J140" s="11"/>
    </row>
    <row r="141" ht="12.0" customHeight="1">
      <c r="A141" s="11"/>
      <c r="B141" s="310">
        <v>60.0</v>
      </c>
      <c r="C141" s="311">
        <f t="shared" si="9"/>
        <v>3.970560679</v>
      </c>
      <c r="D141" s="262"/>
      <c r="E141" s="262"/>
      <c r="F141" s="262"/>
      <c r="G141" s="11"/>
      <c r="H141" s="11"/>
      <c r="I141" s="11"/>
      <c r="J141" s="11"/>
    </row>
    <row r="142" ht="12.0" customHeight="1">
      <c r="A142" s="11"/>
      <c r="B142" s="310">
        <v>80.0</v>
      </c>
      <c r="C142" s="311">
        <f t="shared" si="9"/>
        <v>2.977920509</v>
      </c>
      <c r="D142" s="262"/>
      <c r="E142" s="262"/>
      <c r="F142" s="262"/>
      <c r="G142" s="11"/>
      <c r="H142" s="11"/>
      <c r="I142" s="11"/>
      <c r="J142" s="11"/>
    </row>
    <row r="143" ht="12.0" customHeight="1">
      <c r="A143" s="11"/>
      <c r="B143" s="312">
        <v>100.0</v>
      </c>
      <c r="C143" s="313">
        <f t="shared" si="9"/>
        <v>2.382336407</v>
      </c>
      <c r="D143" s="11"/>
      <c r="E143" s="262"/>
      <c r="F143" s="11"/>
      <c r="G143" s="11"/>
      <c r="H143" s="11"/>
      <c r="I143" s="11"/>
      <c r="J143" s="11"/>
    </row>
    <row r="144" ht="12.0" customHeight="1">
      <c r="A144" s="11"/>
      <c r="B144" s="11"/>
      <c r="C144" s="11"/>
      <c r="D144" s="11"/>
      <c r="E144" s="262"/>
      <c r="F144" s="11"/>
      <c r="G144" s="11"/>
      <c r="H144" s="11"/>
      <c r="I144" s="11"/>
      <c r="J144" s="11"/>
    </row>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5">
    <mergeCell ref="B5:F5"/>
    <mergeCell ref="N8:P8"/>
    <mergeCell ref="R8:T8"/>
    <mergeCell ref="B53:F53"/>
    <mergeCell ref="B101:F101"/>
  </mergeCells>
  <printOptions/>
  <pageMargins bottom="0.75" footer="0.0" header="0.0" left="0.7" right="0.7" top="0.75"/>
  <pageSetup orientation="portrait"/>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4" width="37.43"/>
    <col customWidth="1" min="5" max="5" width="15.71"/>
    <col customWidth="1" min="6" max="8" width="8.71"/>
    <col customWidth="1" min="9" max="9" width="13.29"/>
    <col customWidth="1" min="10" max="10" width="11.71"/>
    <col customWidth="1" min="11" max="11" width="11.43"/>
    <col customWidth="1" min="12" max="12" width="15.0"/>
    <col customWidth="1" min="13" max="13" width="13.71"/>
    <col customWidth="1" min="14" max="26" width="8.71"/>
  </cols>
  <sheetData>
    <row r="1" ht="12.0" customHeight="1"/>
    <row r="2" ht="12.0" customHeight="1"/>
    <row r="3" ht="12.0" customHeight="1"/>
    <row r="4" ht="12.0" customHeight="1"/>
    <row r="5" ht="12.0" customHeight="1">
      <c r="C5" s="11" t="s">
        <v>846</v>
      </c>
    </row>
    <row r="6" ht="12.0" customHeight="1"/>
    <row r="7" ht="12.0" customHeight="1">
      <c r="C7" s="11" t="s">
        <v>847</v>
      </c>
    </row>
    <row r="8" ht="12.0" customHeight="1">
      <c r="C8" s="11" t="s">
        <v>848</v>
      </c>
    </row>
    <row r="9" ht="12.0" customHeight="1"/>
    <row r="10" ht="12.0" customHeight="1">
      <c r="C10" s="11" t="s">
        <v>849</v>
      </c>
    </row>
    <row r="11" ht="12.0" customHeight="1">
      <c r="C11" s="11" t="s">
        <v>850</v>
      </c>
    </row>
    <row r="12" ht="12.0" customHeight="1">
      <c r="C12" s="11" t="s">
        <v>851</v>
      </c>
    </row>
    <row r="13" ht="12.0" customHeight="1">
      <c r="C13" s="11" t="s">
        <v>852</v>
      </c>
    </row>
    <row r="14" ht="12.0" customHeight="1">
      <c r="C14" s="11" t="s">
        <v>853</v>
      </c>
      <c r="D14" s="11" t="s">
        <v>854</v>
      </c>
    </row>
    <row r="15" ht="12.0" customHeight="1">
      <c r="C15" s="11"/>
      <c r="D15" s="11" t="s">
        <v>855</v>
      </c>
    </row>
    <row r="16" ht="12.0" customHeight="1">
      <c r="C16" s="11"/>
      <c r="D16" s="11"/>
    </row>
    <row r="17" ht="30.0" customHeight="1">
      <c r="C17" s="11"/>
      <c r="D17" s="296" t="s">
        <v>796</v>
      </c>
    </row>
    <row r="18" ht="12.0" customHeight="1">
      <c r="C18" s="11"/>
      <c r="D18" s="287" t="s">
        <v>856</v>
      </c>
      <c r="I18" s="235" t="s">
        <v>333</v>
      </c>
      <c r="J18" s="108">
        <f>'Design Calculator'!F56</f>
        <v>175</v>
      </c>
      <c r="K18" s="11" t="s">
        <v>857</v>
      </c>
    </row>
    <row r="19" ht="12.0" customHeight="1">
      <c r="C19" s="11"/>
      <c r="D19" s="11" t="s">
        <v>858</v>
      </c>
      <c r="E19" s="108">
        <f>SOA!H28</f>
        <v>85</v>
      </c>
    </row>
    <row r="20" ht="12.0" customHeight="1">
      <c r="D20" s="11" t="s">
        <v>859</v>
      </c>
      <c r="E20" s="108">
        <v>1.5</v>
      </c>
      <c r="I20" s="252" t="s">
        <v>826</v>
      </c>
      <c r="K20" s="262"/>
      <c r="L20" s="262"/>
      <c r="M20" s="262"/>
    </row>
    <row r="21" ht="12.0" customHeight="1">
      <c r="D21" s="11" t="s">
        <v>860</v>
      </c>
      <c r="E21" s="108">
        <f>1/2*COUTMAX*VINMAX^2*0.000001</f>
        <v>1.35</v>
      </c>
      <c r="J21" s="287" t="s">
        <v>861</v>
      </c>
      <c r="K21" s="304" t="s">
        <v>862</v>
      </c>
      <c r="L21" s="304" t="s">
        <v>863</v>
      </c>
      <c r="M21" s="304" t="s">
        <v>864</v>
      </c>
    </row>
    <row r="22" ht="12.0" customHeight="1">
      <c r="D22" s="11" t="s">
        <v>865</v>
      </c>
      <c r="E22" s="302">
        <f>MAX(Equations!F71-E21,0)</f>
        <v>0.82265625</v>
      </c>
      <c r="I22" s="252" t="s">
        <v>831</v>
      </c>
      <c r="J22" s="252">
        <v>0.01</v>
      </c>
      <c r="K22" s="252">
        <v>0.1</v>
      </c>
      <c r="L22" s="252">
        <v>1.0</v>
      </c>
      <c r="M22" s="252">
        <v>10.0</v>
      </c>
    </row>
    <row r="23" ht="12.0" customHeight="1">
      <c r="D23" s="11" t="s">
        <v>866</v>
      </c>
      <c r="E23" s="108">
        <f>Equations!F70</f>
        <v>281.25</v>
      </c>
      <c r="I23" s="252" t="s">
        <v>832</v>
      </c>
      <c r="J23" s="252">
        <v>0.1</v>
      </c>
      <c r="K23" s="252">
        <v>1.0</v>
      </c>
      <c r="L23" s="252">
        <v>10.0</v>
      </c>
      <c r="M23" s="252">
        <v>100.0</v>
      </c>
    </row>
    <row r="24" ht="12.0" customHeight="1">
      <c r="I24" s="252" t="s">
        <v>634</v>
      </c>
      <c r="J24" s="252">
        <f>SOA!C36</f>
        <v>144</v>
      </c>
      <c r="K24" s="252">
        <f>SOA!D36</f>
        <v>34.54647226</v>
      </c>
      <c r="L24" s="252">
        <f>SOA!E36</f>
        <v>34.54647226</v>
      </c>
      <c r="M24" s="252">
        <f>SOA!F36</f>
        <v>18.86376739</v>
      </c>
    </row>
    <row r="25" ht="12.0" customHeight="1">
      <c r="D25" s="108" t="s">
        <v>68</v>
      </c>
      <c r="E25" s="108">
        <f>'Design Calculator'!F27</f>
        <v>0</v>
      </c>
      <c r="I25" s="252" t="s">
        <v>635</v>
      </c>
      <c r="J25" s="262">
        <f>SOA!C37</f>
        <v>-0.2218487496</v>
      </c>
      <c r="K25" s="262">
        <f>SOA!D37</f>
        <v>-0.841807536</v>
      </c>
      <c r="L25" s="262">
        <f>SOA!E37</f>
        <v>-0.5521745582</v>
      </c>
      <c r="M25" s="262">
        <f>SOA!F37</f>
        <v>-0.2893992851</v>
      </c>
    </row>
    <row r="26" ht="12.0" customHeight="1">
      <c r="D26" s="108" t="s">
        <v>69</v>
      </c>
      <c r="E26" s="108" t="str">
        <f>'Design Calculator'!F28</f>
        <v>Constant Current</v>
      </c>
    </row>
    <row r="27" ht="12.0" customHeight="1">
      <c r="D27" s="108" t="s">
        <v>72</v>
      </c>
      <c r="E27" s="108">
        <f>'Design Calculator'!F29</f>
        <v>0.2</v>
      </c>
      <c r="I27" s="264" t="s">
        <v>867</v>
      </c>
      <c r="J27" s="287" t="s">
        <v>793</v>
      </c>
    </row>
    <row r="28" ht="12.0" customHeight="1">
      <c r="G28" s="108" t="s">
        <v>868</v>
      </c>
      <c r="I28" s="143">
        <f t="shared" ref="I28:I29" si="1">SUM(E58:X58)</f>
        <v>1.063040148</v>
      </c>
      <c r="J28" s="143">
        <f>IF(I28=0, "NA", I28/AVERAGE(1, E32))</f>
        <v>1.191241586</v>
      </c>
    </row>
    <row r="29" ht="12.0" customHeight="1">
      <c r="D29" s="11" t="s">
        <v>869</v>
      </c>
      <c r="E29" s="108">
        <f>12/1</f>
        <v>12</v>
      </c>
      <c r="G29" s="108" t="s">
        <v>870</v>
      </c>
      <c r="I29" s="143">
        <f t="shared" si="1"/>
        <v>0.12</v>
      </c>
      <c r="J29" s="143">
        <f>IF(I29=0, "NA", I29*AVERAGE(1,E32))</f>
        <v>0.1070855982</v>
      </c>
    </row>
    <row r="30" ht="12.0" customHeight="1">
      <c r="D30" s="11" t="s">
        <v>871</v>
      </c>
      <c r="E30" s="108">
        <v>0.12</v>
      </c>
    </row>
    <row r="31" ht="12.0" customHeight="1">
      <c r="D31" s="11" t="s">
        <v>872</v>
      </c>
      <c r="E31" s="108">
        <v>20.0</v>
      </c>
    </row>
    <row r="32" ht="12.0" customHeight="1">
      <c r="D32" s="11" t="s">
        <v>873</v>
      </c>
      <c r="E32" s="108">
        <f>(E30/E29)^(1/(E31-1))</f>
        <v>0.7847599704</v>
      </c>
    </row>
    <row r="33" ht="12.0" customHeight="1">
      <c r="D33" s="11"/>
    </row>
    <row r="34" ht="12.0" customHeight="1">
      <c r="E34" s="108">
        <v>1.0</v>
      </c>
      <c r="F34" s="108">
        <v>2.0</v>
      </c>
      <c r="G34" s="108">
        <v>3.0</v>
      </c>
      <c r="H34" s="108">
        <v>4.0</v>
      </c>
      <c r="I34" s="108">
        <v>5.0</v>
      </c>
      <c r="J34" s="108">
        <v>6.0</v>
      </c>
      <c r="K34" s="108">
        <v>7.0</v>
      </c>
      <c r="L34" s="108">
        <v>8.0</v>
      </c>
      <c r="M34" s="108">
        <v>9.0</v>
      </c>
      <c r="N34" s="108">
        <v>10.0</v>
      </c>
      <c r="O34" s="108">
        <v>11.0</v>
      </c>
      <c r="P34" s="108">
        <v>12.0</v>
      </c>
      <c r="Q34" s="108">
        <v>13.0</v>
      </c>
      <c r="R34" s="108">
        <v>14.0</v>
      </c>
      <c r="S34" s="108">
        <v>15.0</v>
      </c>
      <c r="T34" s="108">
        <v>16.0</v>
      </c>
      <c r="U34" s="108">
        <v>17.0</v>
      </c>
      <c r="V34" s="108">
        <v>18.0</v>
      </c>
      <c r="W34" s="108">
        <v>19.0</v>
      </c>
      <c r="X34" s="108">
        <v>20.0</v>
      </c>
    </row>
    <row r="35" ht="12.0" customHeight="1">
      <c r="D35" s="314" t="s">
        <v>874</v>
      </c>
      <c r="E35" s="314">
        <f>E29</f>
        <v>12</v>
      </c>
      <c r="F35" s="314">
        <f t="shared" ref="F35:X35" si="2">E35*$E$32</f>
        <v>9.417119644</v>
      </c>
      <c r="G35" s="314">
        <f t="shared" si="2"/>
        <v>7.390178533</v>
      </c>
      <c r="H35" s="314">
        <f t="shared" si="2"/>
        <v>5.799516286</v>
      </c>
      <c r="I35" s="314">
        <f t="shared" si="2"/>
        <v>4.551228229</v>
      </c>
      <c r="J35" s="314">
        <f t="shared" si="2"/>
        <v>3.57162173</v>
      </c>
      <c r="K35" s="314">
        <f t="shared" si="2"/>
        <v>2.802865763</v>
      </c>
      <c r="L35" s="314">
        <f t="shared" si="2"/>
        <v>2.199576853</v>
      </c>
      <c r="M35" s="314">
        <f t="shared" si="2"/>
        <v>1.726139866</v>
      </c>
      <c r="N35" s="314">
        <f t="shared" si="2"/>
        <v>1.35460547</v>
      </c>
      <c r="O35" s="314">
        <f t="shared" si="2"/>
        <v>1.063040148</v>
      </c>
      <c r="P35" s="314">
        <f t="shared" si="2"/>
        <v>0.8342313554</v>
      </c>
      <c r="Q35" s="314">
        <f t="shared" si="2"/>
        <v>0.6546713737</v>
      </c>
      <c r="R35" s="314">
        <f t="shared" si="2"/>
        <v>0.5137598878</v>
      </c>
      <c r="S35" s="314">
        <f t="shared" si="2"/>
        <v>0.4031781944</v>
      </c>
      <c r="T35" s="314">
        <f t="shared" si="2"/>
        <v>0.3163981078</v>
      </c>
      <c r="U35" s="314">
        <f t="shared" si="2"/>
        <v>0.2482965697</v>
      </c>
      <c r="V35" s="314">
        <f t="shared" si="2"/>
        <v>0.1948532087</v>
      </c>
      <c r="W35" s="314">
        <f t="shared" si="2"/>
        <v>0.1529129983</v>
      </c>
      <c r="X35" s="314">
        <f t="shared" si="2"/>
        <v>0.12</v>
      </c>
    </row>
    <row r="36" ht="12.0" customHeight="1">
      <c r="D36" s="11" t="s">
        <v>875</v>
      </c>
      <c r="E36" s="108">
        <f>VINMAX/E35</f>
        <v>2.5</v>
      </c>
      <c r="F36" s="108">
        <f>VINMAX/F35</f>
        <v>3.185687464</v>
      </c>
      <c r="G36" s="108">
        <f>VINMAX/G35</f>
        <v>4.059441848</v>
      </c>
      <c r="H36" s="108">
        <f>VINMAX/H35</f>
        <v>5.172845203</v>
      </c>
      <c r="I36" s="108">
        <f>VINMAX/I35</f>
        <v>6.591627247</v>
      </c>
      <c r="J36" s="108">
        <f>VINMAX/J35</f>
        <v>8.399545716</v>
      </c>
      <c r="K36" s="108">
        <f>VINMAX/K35</f>
        <v>10.703331</v>
      </c>
      <c r="L36" s="108">
        <f>VINMAX/L35</f>
        <v>13.63898695</v>
      </c>
      <c r="M36" s="108">
        <f>VINMAX/M35</f>
        <v>17.3798199</v>
      </c>
      <c r="N36" s="108">
        <f>VINMAX/N35</f>
        <v>22.14666976</v>
      </c>
      <c r="O36" s="108">
        <f>VINMAX/O35</f>
        <v>28.22094729</v>
      </c>
      <c r="P36" s="108">
        <f>VINMAX/P35</f>
        <v>35.96124721</v>
      </c>
      <c r="Q36" s="108">
        <f>VINMAX/Q35</f>
        <v>45.82451777</v>
      </c>
      <c r="R36" s="108">
        <f>VINMAX/R35</f>
        <v>58.39303673</v>
      </c>
      <c r="S36" s="108">
        <f>VINMAX/S35</f>
        <v>74.40878604</v>
      </c>
      <c r="T36" s="108">
        <f>VINMAX/T35</f>
        <v>94.81725477</v>
      </c>
      <c r="U36" s="108">
        <f>VINMAX/U35</f>
        <v>120.823256</v>
      </c>
      <c r="V36" s="108">
        <f>VINMAX/V35</f>
        <v>153.9620528</v>
      </c>
      <c r="W36" s="108">
        <f>VINMAX/W35</f>
        <v>196.1899926</v>
      </c>
      <c r="X36" s="108">
        <f>VINMAX/X35</f>
        <v>250</v>
      </c>
    </row>
    <row r="37" ht="12.0" customHeight="1">
      <c r="D37" s="11" t="s">
        <v>876</v>
      </c>
      <c r="E37" s="108">
        <f>E35*COUTMAX/1000</f>
        <v>36</v>
      </c>
      <c r="F37" s="108">
        <f>F35*COUTMAX/1000</f>
        <v>28.25135893</v>
      </c>
      <c r="G37" s="108">
        <f>G35*COUTMAX/1000</f>
        <v>22.1705356</v>
      </c>
      <c r="H37" s="108">
        <f>H35*COUTMAX/1000</f>
        <v>17.39854886</v>
      </c>
      <c r="I37" s="108">
        <f>I35*COUTMAX/1000</f>
        <v>13.65368469</v>
      </c>
      <c r="J37" s="108">
        <f>J35*COUTMAX/1000</f>
        <v>10.71486519</v>
      </c>
      <c r="K37" s="108">
        <f>K35*COUTMAX/1000</f>
        <v>8.408597289</v>
      </c>
      <c r="L37" s="108">
        <f>L35*COUTMAX/1000</f>
        <v>6.598730559</v>
      </c>
      <c r="M37" s="108">
        <f>M35*COUTMAX/1000</f>
        <v>5.178419598</v>
      </c>
      <c r="N37" s="108">
        <f>N35*COUTMAX/1000</f>
        <v>4.06381641</v>
      </c>
      <c r="O37" s="108">
        <f>O35*COUTMAX/1000</f>
        <v>3.189120445</v>
      </c>
      <c r="P37" s="108">
        <f>P35*COUTMAX/1000</f>
        <v>2.502694066</v>
      </c>
      <c r="Q37" s="108">
        <f>Q35*COUTMAX/1000</f>
        <v>1.964014121</v>
      </c>
      <c r="R37" s="108">
        <f>R35*COUTMAX/1000</f>
        <v>1.541279664</v>
      </c>
      <c r="S37" s="108">
        <f>S35*COUTMAX/1000</f>
        <v>1.209534583</v>
      </c>
      <c r="T37" s="108">
        <f>T35*COUTMAX/1000</f>
        <v>0.9491943235</v>
      </c>
      <c r="U37" s="108">
        <f>U35*COUTMAX/1000</f>
        <v>0.7448897092</v>
      </c>
      <c r="V37" s="108">
        <f>V35*COUTMAX/1000</f>
        <v>0.5845596261</v>
      </c>
      <c r="W37" s="108">
        <f>W35*COUTMAX/1000</f>
        <v>0.4587389949</v>
      </c>
      <c r="X37" s="108">
        <f>X35*COUTMAX/1000</f>
        <v>0.36</v>
      </c>
    </row>
    <row r="38" ht="12.0" customHeight="1">
      <c r="D38" s="11" t="s">
        <v>877</v>
      </c>
      <c r="E38" s="302">
        <f t="shared" ref="E38:X38" si="3">$E$21+$E$22*E36/$E$23</f>
        <v>1.3573125</v>
      </c>
      <c r="F38" s="302">
        <f t="shared" si="3"/>
        <v>1.359318136</v>
      </c>
      <c r="G38" s="302">
        <f t="shared" si="3"/>
        <v>1.361873867</v>
      </c>
      <c r="H38" s="302">
        <f t="shared" si="3"/>
        <v>1.365130572</v>
      </c>
      <c r="I38" s="302">
        <f t="shared" si="3"/>
        <v>1.36928051</v>
      </c>
      <c r="J38" s="302">
        <f t="shared" si="3"/>
        <v>1.374568671</v>
      </c>
      <c r="K38" s="302">
        <f t="shared" si="3"/>
        <v>1.381307243</v>
      </c>
      <c r="L38" s="302">
        <f t="shared" si="3"/>
        <v>1.389894037</v>
      </c>
      <c r="M38" s="302">
        <f t="shared" si="3"/>
        <v>1.400835973</v>
      </c>
      <c r="N38" s="302">
        <f t="shared" si="3"/>
        <v>1.414779009</v>
      </c>
      <c r="O38" s="302">
        <f t="shared" si="3"/>
        <v>1.432546271</v>
      </c>
      <c r="P38" s="302">
        <f t="shared" si="3"/>
        <v>1.455186648</v>
      </c>
      <c r="Q38" s="302">
        <f t="shared" si="3"/>
        <v>1.484036714</v>
      </c>
      <c r="R38" s="302">
        <f t="shared" si="3"/>
        <v>1.520799632</v>
      </c>
      <c r="S38" s="302">
        <f t="shared" si="3"/>
        <v>1.567645699</v>
      </c>
      <c r="T38" s="302">
        <f t="shared" si="3"/>
        <v>1.62734047</v>
      </c>
      <c r="U38" s="302">
        <f t="shared" si="3"/>
        <v>1.703408024</v>
      </c>
      <c r="V38" s="302">
        <f t="shared" si="3"/>
        <v>1.800339004</v>
      </c>
      <c r="W38" s="302">
        <f t="shared" si="3"/>
        <v>1.923855728</v>
      </c>
      <c r="X38" s="302">
        <f t="shared" si="3"/>
        <v>2.08125</v>
      </c>
    </row>
    <row r="39" ht="12.0" customHeight="1">
      <c r="D39" s="11" t="s">
        <v>878</v>
      </c>
      <c r="E39" s="108">
        <f>(E37+IF($E$26="Resistive",0,IF($E$25=0,$E$27,0)))*VINMAX</f>
        <v>1086</v>
      </c>
      <c r="F39" s="108">
        <f>(F37+IF($E$26="Resistive",0,IF($E$25=0,$E$27,0)))*VINMAX</f>
        <v>853.540768</v>
      </c>
      <c r="G39" s="108">
        <f>(G37+IF($E$26="Resistive",0,IF($E$25=0,$E$27,0)))*VINMAX</f>
        <v>671.116068</v>
      </c>
      <c r="H39" s="108">
        <f>(H37+IF($E$26="Resistive",0,IF($E$25=0,$E$27,0)))*VINMAX</f>
        <v>527.9564658</v>
      </c>
      <c r="I39" s="108">
        <f>(I37+IF($E$26="Resistive",0,IF($E$25=0,$E$27,0)))*VINMAX</f>
        <v>415.6105406</v>
      </c>
      <c r="J39" s="108">
        <f>(J37+IF($E$26="Resistive",0,IF($E$25=0,$E$27,0)))*VINMAX</f>
        <v>327.4459557</v>
      </c>
      <c r="K39" s="108">
        <f>(K37+IF($E$26="Resistive",0,IF($E$25=0,$E$27,0)))*VINMAX</f>
        <v>258.2579187</v>
      </c>
      <c r="L39" s="108">
        <f>(L37+IF($E$26="Resistive",0,IF($E$25=0,$E$27,0)))*VINMAX</f>
        <v>203.9619168</v>
      </c>
      <c r="M39" s="108">
        <f>(M37+IF($E$26="Resistive",0,IF($E$25=0,$E$27,0)))*VINMAX</f>
        <v>161.3525879</v>
      </c>
      <c r="N39" s="108">
        <f>(N37+IF($E$26="Resistive",0,IF($E$25=0,$E$27,0)))*VINMAX</f>
        <v>127.9144923</v>
      </c>
      <c r="O39" s="108">
        <f>(O37+IF($E$26="Resistive",0,IF($E$25=0,$E$27,0)))*VINMAX</f>
        <v>101.6736134</v>
      </c>
      <c r="P39" s="108">
        <f>(P37+IF($E$26="Resistive",0,IF($E$25=0,$E$27,0)))*VINMAX</f>
        <v>81.08082199</v>
      </c>
      <c r="Q39" s="108">
        <f>(Q37+IF($E$26="Resistive",0,IF($E$25=0,$E$27,0)))*VINMAX</f>
        <v>64.92042364</v>
      </c>
      <c r="R39" s="108">
        <f>(R37+IF($E$26="Resistive",0,IF($E$25=0,$E$27,0)))*VINMAX</f>
        <v>52.23838991</v>
      </c>
      <c r="S39" s="108">
        <f>(S37+IF($E$26="Resistive",0,IF($E$25=0,$E$27,0)))*VINMAX</f>
        <v>42.28603749</v>
      </c>
      <c r="T39" s="108">
        <f>(T37+IF($E$26="Resistive",0,IF($E$25=0,$E$27,0)))*VINMAX</f>
        <v>34.47582971</v>
      </c>
      <c r="U39" s="108">
        <f>(U37+IF($E$26="Resistive",0,IF($E$25=0,$E$27,0)))*VINMAX</f>
        <v>28.34669128</v>
      </c>
      <c r="V39" s="108">
        <f>(V37+IF($E$26="Resistive",0,IF($E$25=0,$E$27,0)))*VINMAX</f>
        <v>23.53678878</v>
      </c>
      <c r="W39" s="108">
        <f>(W37+IF($E$26="Resistive",0,IF($E$25=0,$E$27,0)))*VINMAX</f>
        <v>19.76216985</v>
      </c>
      <c r="X39" s="108">
        <f>(X37+IF($E$26="Resistive",0,IF($E$25=0,$E$27,0)))*VINMAX</f>
        <v>16.8</v>
      </c>
    </row>
    <row r="40" ht="12.0" customHeight="1">
      <c r="D40" s="11" t="s">
        <v>879</v>
      </c>
      <c r="E40" s="108">
        <f>(E37+IF($E$26="Resistive", $E$25/$E$27,$E$27)) *(VINMAX-$E$25)</f>
        <v>1086</v>
      </c>
      <c r="F40" s="108">
        <f>(F37+IF($E$26="Resistive", $E$25/$E$27,$E$27)) *(VINMAX-$E$25)</f>
        <v>853.540768</v>
      </c>
      <c r="G40" s="108">
        <f>(G37+IF($E$26="Resistive", $E$25/$E$27,$E$27)) *(VINMAX-$E$25)</f>
        <v>671.116068</v>
      </c>
      <c r="H40" s="108">
        <f>(H37+IF($E$26="Resistive", $E$25/$E$27,$E$27)) *(VINMAX-$E$25)</f>
        <v>527.9564658</v>
      </c>
      <c r="I40" s="108">
        <f>(I37+IF($E$26="Resistive", $E$25/$E$27,$E$27)) *(VINMAX-$E$25)</f>
        <v>415.6105406</v>
      </c>
      <c r="J40" s="108">
        <f>(J37+IF($E$26="Resistive", $E$25/$E$27,$E$27)) *(VINMAX-$E$25)</f>
        <v>327.4459557</v>
      </c>
      <c r="K40" s="108">
        <f>(K37+IF($E$26="Resistive", $E$25/$E$27,$E$27)) *(VINMAX-$E$25)</f>
        <v>258.2579187</v>
      </c>
      <c r="L40" s="108">
        <f>(L37+IF($E$26="Resistive", $E$25/$E$27,$E$27)) *(VINMAX-$E$25)</f>
        <v>203.9619168</v>
      </c>
      <c r="M40" s="108">
        <f>(M37+IF($E$26="Resistive", $E$25/$E$27,$E$27)) *(VINMAX-$E$25)</f>
        <v>161.3525879</v>
      </c>
      <c r="N40" s="108">
        <f>(N37+IF($E$26="Resistive", $E$25/$E$27,$E$27)) *(VINMAX-$E$25)</f>
        <v>127.9144923</v>
      </c>
      <c r="O40" s="108">
        <f>(O37+IF($E$26="Resistive", $E$25/$E$27,$E$27)) *(VINMAX-$E$25)</f>
        <v>101.6736134</v>
      </c>
      <c r="P40" s="108">
        <f>(P37+IF($E$26="Resistive", $E$25/$E$27,$E$27)) *(VINMAX-$E$25)</f>
        <v>81.08082199</v>
      </c>
      <c r="Q40" s="108">
        <f>(Q37+IF($E$26="Resistive", $E$25/$E$27,$E$27)) *(VINMAX-$E$25)</f>
        <v>64.92042364</v>
      </c>
      <c r="R40" s="108">
        <f>(R37+IF($E$26="Resistive", $E$25/$E$27,$E$27)) *(VINMAX-$E$25)</f>
        <v>52.23838991</v>
      </c>
      <c r="S40" s="108">
        <f>(S37+IF($E$26="Resistive", $E$25/$E$27,$E$27)) *(VINMAX-$E$25)</f>
        <v>42.28603749</v>
      </c>
      <c r="T40" s="108">
        <f>(T37+IF($E$26="Resistive", $E$25/$E$27,$E$27)) *(VINMAX-$E$25)</f>
        <v>34.47582971</v>
      </c>
      <c r="U40" s="108">
        <f>(U37+IF($E$26="Resistive", $E$25/$E$27,$E$27)) *(VINMAX-$E$25)</f>
        <v>28.34669128</v>
      </c>
      <c r="V40" s="108">
        <f>(V37+IF($E$26="Resistive", $E$25/$E$27,$E$27)) *(VINMAX-$E$25)</f>
        <v>23.53678878</v>
      </c>
      <c r="W40" s="108">
        <f>(W37+IF($E$26="Resistive", $E$25/$E$27,$E$27)) *(VINMAX-$E$25)</f>
        <v>19.76216985</v>
      </c>
      <c r="X40" s="108">
        <f>(X37+IF($E$26="Resistive", $E$25/$E$27,$E$27)) *(VINMAX-$E$25)</f>
        <v>16.8</v>
      </c>
    </row>
    <row r="41" ht="12.0" customHeight="1">
      <c r="D41" s="11" t="s">
        <v>880</v>
      </c>
      <c r="E41" s="108">
        <f>IF($E$26="Resistive", -$E$27*E37/2 + VINMAX/2, -1)</f>
        <v>-1</v>
      </c>
      <c r="F41" s="108">
        <f>IF($E$26="Resistive", -$E$27*F37/2 + VINMAX/2, -1)</f>
        <v>-1</v>
      </c>
      <c r="G41" s="108">
        <f>IF($E$26="Resistive", -$E$27*G37/2 + VINMAX/2, -1)</f>
        <v>-1</v>
      </c>
      <c r="H41" s="108">
        <f>IF($E$26="Resistive", -$E$27*H37/2 + VINMAX/2, -1)</f>
        <v>-1</v>
      </c>
      <c r="I41" s="108">
        <f>IF($E$26="Resistive", -$E$27*I37/2 + VINMAX/2, -1)</f>
        <v>-1</v>
      </c>
      <c r="J41" s="108">
        <f>IF($E$26="Resistive", -$E$27*J37/2 + VINMAX/2, -1)</f>
        <v>-1</v>
      </c>
      <c r="K41" s="108">
        <f>IF($E$26="Resistive", -$E$27*K37/2 + VINMAX/2, -1)</f>
        <v>-1</v>
      </c>
      <c r="L41" s="108">
        <f>IF($E$26="Resistive", -$E$27*L37/2 + VINMAX/2, -1)</f>
        <v>-1</v>
      </c>
      <c r="M41" s="108">
        <f>IF($E$26="Resistive", -$E$27*M37/2 + VINMAX/2, -1)</f>
        <v>-1</v>
      </c>
      <c r="N41" s="108">
        <f>IF($E$26="Resistive", -$E$27*N37/2 + VINMAX/2, -1)</f>
        <v>-1</v>
      </c>
      <c r="O41" s="108">
        <f>IF($E$26="Resistive", -$E$27*O37/2 + VINMAX/2, -1)</f>
        <v>-1</v>
      </c>
      <c r="P41" s="108">
        <f>IF($E$26="Resistive", -$E$27*P37/2 + VINMAX/2, -1)</f>
        <v>-1</v>
      </c>
      <c r="Q41" s="108">
        <f>IF($E$26="Resistive", -$E$27*Q37/2 + VINMAX/2, -1)</f>
        <v>-1</v>
      </c>
      <c r="R41" s="108">
        <f>IF($E$26="Resistive", -$E$27*R37/2 + VINMAX/2, -1)</f>
        <v>-1</v>
      </c>
      <c r="S41" s="108">
        <f>IF($E$26="Resistive", -$E$27*S37/2 + VINMAX/2, -1)</f>
        <v>-1</v>
      </c>
      <c r="T41" s="108">
        <f>IF($E$26="Resistive", -$E$27*T37/2 + VINMAX/2, -1)</f>
        <v>-1</v>
      </c>
      <c r="U41" s="108">
        <f>IF($E$26="Resistive", -$E$27*U37/2 + VINMAX/2, -1)</f>
        <v>-1</v>
      </c>
      <c r="V41" s="108">
        <f>IF($E$26="Resistive", -$E$27*V37/2 + VINMAX/2, -1)</f>
        <v>-1</v>
      </c>
      <c r="W41" s="108">
        <f>IF($E$26="Resistive", -$E$27*W37/2 + VINMAX/2, -1)</f>
        <v>-1</v>
      </c>
      <c r="X41" s="108">
        <f>IF($E$26="Resistive", -$E$27*X37/2 + VINMAX/2, -1)</f>
        <v>-1</v>
      </c>
    </row>
    <row r="42" ht="12.0" customHeight="1">
      <c r="D42" s="11" t="s">
        <v>881</v>
      </c>
      <c r="E42" s="108">
        <f>IF(AND(E41&lt;VINMAX, E41&gt;$E$25), (VINMAX-E41)*(E37+E41/$E$27), 0)</f>
        <v>0</v>
      </c>
      <c r="F42" s="108">
        <f>IF(AND(F41&lt;VINMAX, F41&gt;$E$25), (VINMAX-F41)*(F37+F41/$E$27), 0)</f>
        <v>0</v>
      </c>
      <c r="G42" s="108">
        <f>IF(AND(G41&lt;VINMAX, G41&gt;$E$25), (VINMAX-G41)*(G37+G41/$E$27), 0)</f>
        <v>0</v>
      </c>
      <c r="H42" s="108">
        <f>IF(AND(H41&lt;VINMAX, H41&gt;$E$25), (VINMAX-H41)*(H37+H41/$E$27), 0)</f>
        <v>0</v>
      </c>
      <c r="I42" s="108">
        <f>IF(AND(I41&lt;VINMAX, I41&gt;$E$25), (VINMAX-I41)*(I37+I41/$E$27), 0)</f>
        <v>0</v>
      </c>
      <c r="J42" s="108">
        <f>IF(AND(J41&lt;VINMAX, J41&gt;$E$25), (VINMAX-J41)*(J37+J41/$E$27), 0)</f>
        <v>0</v>
      </c>
      <c r="K42" s="108">
        <f>IF(AND(K41&lt;VINMAX, K41&gt;$E$25), (VINMAX-K41)*(K37+K41/$E$27), 0)</f>
        <v>0</v>
      </c>
      <c r="L42" s="108">
        <f>IF(AND(L41&lt;VINMAX, L41&gt;$E$25), (VINMAX-L41)*(L37+L41/$E$27), 0)</f>
        <v>0</v>
      </c>
      <c r="M42" s="108">
        <f>IF(AND(M41&lt;VINMAX, M41&gt;$E$25), (VINMAX-M41)*(M37+M41/$E$27), 0)</f>
        <v>0</v>
      </c>
      <c r="N42" s="108">
        <f>IF(AND(N41&lt;VINMAX, N41&gt;$E$25), (VINMAX-N41)*(N37+N41/$E$27), 0)</f>
        <v>0</v>
      </c>
      <c r="O42" s="108">
        <f>IF(AND(O41&lt;VINMAX, O41&gt;$E$25), (VINMAX-O41)*(O37+O41/$E$27), 0)</f>
        <v>0</v>
      </c>
      <c r="P42" s="108">
        <f>IF(AND(P41&lt;VINMAX, P41&gt;$E$25), (VINMAX-P41)*(P37+P41/$E$27), 0)</f>
        <v>0</v>
      </c>
      <c r="Q42" s="108">
        <f>IF(AND(Q41&lt;VINMAX, Q41&gt;$E$25), (VINMAX-Q41)*(Q37+Q41/$E$27), 0)</f>
        <v>0</v>
      </c>
      <c r="R42" s="108">
        <f>IF(AND(R41&lt;VINMAX, R41&gt;$E$25), (VINMAX-R41)*(R37+R41/$E$27), 0)</f>
        <v>0</v>
      </c>
      <c r="S42" s="108">
        <f>IF(AND(S41&lt;VINMAX, S41&gt;$E$25), (VINMAX-S41)*(S37+S41/$E$27), 0)</f>
        <v>0</v>
      </c>
      <c r="T42" s="108">
        <f>IF(AND(T41&lt;VINMAX, T41&gt;$E$25), (VINMAX-T41)*(T37+T41/$E$27), 0)</f>
        <v>0</v>
      </c>
      <c r="U42" s="108">
        <f>IF(AND(U41&lt;VINMAX, U41&gt;$E$25), (VINMAX-U41)*(U37+U41/$E$27), 0)</f>
        <v>0</v>
      </c>
      <c r="V42" s="108">
        <f>IF(AND(V41&lt;VINMAX, V41&gt;$E$25), (VINMAX-V41)*(V37+V41/$E$27), 0)</f>
        <v>0</v>
      </c>
      <c r="W42" s="108">
        <f>IF(AND(W41&lt;VINMAX, W41&gt;$E$25), (VINMAX-W41)*(W37+W41/$E$27), 0)</f>
        <v>0</v>
      </c>
      <c r="X42" s="108">
        <f>IF(AND(X41&lt;VINMAX, X41&gt;$E$25), (VINMAX-X41)*(X37+X41/$E$27), 0)</f>
        <v>0</v>
      </c>
    </row>
    <row r="43" ht="12.0" customHeight="1"/>
    <row r="44" ht="12.0" customHeight="1">
      <c r="D44" s="11" t="s">
        <v>882</v>
      </c>
      <c r="E44" s="108">
        <f t="shared" ref="E44:X44" si="4">MAX(E39,E40,E42)</f>
        <v>1086</v>
      </c>
      <c r="F44" s="108">
        <f t="shared" si="4"/>
        <v>853.540768</v>
      </c>
      <c r="G44" s="108">
        <f t="shared" si="4"/>
        <v>671.116068</v>
      </c>
      <c r="H44" s="108">
        <f t="shared" si="4"/>
        <v>527.9564658</v>
      </c>
      <c r="I44" s="108">
        <f t="shared" si="4"/>
        <v>415.6105406</v>
      </c>
      <c r="J44" s="108">
        <f t="shared" si="4"/>
        <v>327.4459557</v>
      </c>
      <c r="K44" s="108">
        <f t="shared" si="4"/>
        <v>258.2579187</v>
      </c>
      <c r="L44" s="108">
        <f t="shared" si="4"/>
        <v>203.9619168</v>
      </c>
      <c r="M44" s="108">
        <f t="shared" si="4"/>
        <v>161.3525879</v>
      </c>
      <c r="N44" s="108">
        <f t="shared" si="4"/>
        <v>127.9144923</v>
      </c>
      <c r="O44" s="108">
        <f t="shared" si="4"/>
        <v>101.6736134</v>
      </c>
      <c r="P44" s="108">
        <f t="shared" si="4"/>
        <v>81.08082199</v>
      </c>
      <c r="Q44" s="108">
        <f t="shared" si="4"/>
        <v>64.92042364</v>
      </c>
      <c r="R44" s="108">
        <f t="shared" si="4"/>
        <v>52.23838991</v>
      </c>
      <c r="S44" s="108">
        <f t="shared" si="4"/>
        <v>42.28603749</v>
      </c>
      <c r="T44" s="108">
        <f t="shared" si="4"/>
        <v>34.47582971</v>
      </c>
      <c r="U44" s="108">
        <f t="shared" si="4"/>
        <v>28.34669128</v>
      </c>
      <c r="V44" s="108">
        <f t="shared" si="4"/>
        <v>23.53678878</v>
      </c>
      <c r="W44" s="108">
        <f t="shared" si="4"/>
        <v>19.76216985</v>
      </c>
      <c r="X44" s="108">
        <f t="shared" si="4"/>
        <v>16.8</v>
      </c>
    </row>
    <row r="45" ht="12.0" customHeight="1">
      <c r="D45" s="11" t="s">
        <v>883</v>
      </c>
      <c r="E45" s="302">
        <f t="shared" ref="E45:X45" si="5">E38/E44*1000</f>
        <v>1.249827348</v>
      </c>
      <c r="F45" s="302">
        <f t="shared" si="5"/>
        <v>1.592563808</v>
      </c>
      <c r="G45" s="302">
        <f t="shared" si="5"/>
        <v>2.029267265</v>
      </c>
      <c r="H45" s="302">
        <f t="shared" si="5"/>
        <v>2.585687762</v>
      </c>
      <c r="I45" s="302">
        <f t="shared" si="5"/>
        <v>3.294624115</v>
      </c>
      <c r="J45" s="302">
        <f t="shared" si="5"/>
        <v>4.19784898</v>
      </c>
      <c r="K45" s="302">
        <f t="shared" si="5"/>
        <v>5.348557172</v>
      </c>
      <c r="L45" s="302">
        <f t="shared" si="5"/>
        <v>6.814478207</v>
      </c>
      <c r="M45" s="302">
        <f t="shared" si="5"/>
        <v>8.681831455</v>
      </c>
      <c r="N45" s="302">
        <f t="shared" si="5"/>
        <v>11.06034964</v>
      </c>
      <c r="O45" s="302">
        <f t="shared" si="5"/>
        <v>14.08965634</v>
      </c>
      <c r="P45" s="302">
        <f t="shared" si="5"/>
        <v>17.94735934</v>
      </c>
      <c r="Q45" s="302">
        <f t="shared" si="5"/>
        <v>22.85931963</v>
      </c>
      <c r="R45" s="302">
        <f t="shared" si="5"/>
        <v>29.11268198</v>
      </c>
      <c r="S45" s="302">
        <f t="shared" si="5"/>
        <v>37.07241899</v>
      </c>
      <c r="T45" s="302">
        <f t="shared" si="5"/>
        <v>47.20235841</v>
      </c>
      <c r="U45" s="302">
        <f t="shared" si="5"/>
        <v>60.09195243</v>
      </c>
      <c r="V45" s="302">
        <f t="shared" si="5"/>
        <v>76.49042615</v>
      </c>
      <c r="W45" s="302">
        <f t="shared" si="5"/>
        <v>97.3504298</v>
      </c>
      <c r="X45" s="302">
        <f t="shared" si="5"/>
        <v>123.8839286</v>
      </c>
    </row>
    <row r="46" ht="12.0" customHeight="1"/>
    <row r="47" ht="12.0" customHeight="1">
      <c r="D47" s="11" t="s">
        <v>634</v>
      </c>
      <c r="E47" s="108">
        <f t="shared" ref="E47:X47" si="6">IF(E45&lt;$J$23,$J$24,IF(E45&lt;$K$23,$K$24,IF(E45&lt;$L$23,$L$24,$M$24)))</f>
        <v>34.54647226</v>
      </c>
      <c r="F47" s="108">
        <f t="shared" si="6"/>
        <v>34.54647226</v>
      </c>
      <c r="G47" s="108">
        <f t="shared" si="6"/>
        <v>34.54647226</v>
      </c>
      <c r="H47" s="108">
        <f t="shared" si="6"/>
        <v>34.54647226</v>
      </c>
      <c r="I47" s="108">
        <f t="shared" si="6"/>
        <v>34.54647226</v>
      </c>
      <c r="J47" s="108">
        <f t="shared" si="6"/>
        <v>34.54647226</v>
      </c>
      <c r="K47" s="108">
        <f t="shared" si="6"/>
        <v>34.54647226</v>
      </c>
      <c r="L47" s="108">
        <f t="shared" si="6"/>
        <v>34.54647226</v>
      </c>
      <c r="M47" s="108">
        <f t="shared" si="6"/>
        <v>34.54647226</v>
      </c>
      <c r="N47" s="108">
        <f t="shared" si="6"/>
        <v>18.86376739</v>
      </c>
      <c r="O47" s="108">
        <f t="shared" si="6"/>
        <v>18.86376739</v>
      </c>
      <c r="P47" s="108">
        <f t="shared" si="6"/>
        <v>18.86376739</v>
      </c>
      <c r="Q47" s="108">
        <f t="shared" si="6"/>
        <v>18.86376739</v>
      </c>
      <c r="R47" s="108">
        <f t="shared" si="6"/>
        <v>18.86376739</v>
      </c>
      <c r="S47" s="108">
        <f t="shared" si="6"/>
        <v>18.86376739</v>
      </c>
      <c r="T47" s="108">
        <f t="shared" si="6"/>
        <v>18.86376739</v>
      </c>
      <c r="U47" s="108">
        <f t="shared" si="6"/>
        <v>18.86376739</v>
      </c>
      <c r="V47" s="108">
        <f t="shared" si="6"/>
        <v>18.86376739</v>
      </c>
      <c r="W47" s="108">
        <f t="shared" si="6"/>
        <v>18.86376739</v>
      </c>
      <c r="X47" s="108">
        <f t="shared" si="6"/>
        <v>18.86376739</v>
      </c>
    </row>
    <row r="48" ht="12.0" customHeight="1">
      <c r="D48" s="11" t="s">
        <v>635</v>
      </c>
      <c r="E48" s="286">
        <f t="shared" ref="E48:X48" si="7">IF(E45&lt;$J$23,$J$25,IF(E45&lt;$K$23,$K$25,IF(E45&lt;$L$23,$L$25,$M$25)))</f>
        <v>-0.5521745582</v>
      </c>
      <c r="F48" s="286">
        <f t="shared" si="7"/>
        <v>-0.5521745582</v>
      </c>
      <c r="G48" s="286">
        <f t="shared" si="7"/>
        <v>-0.5521745582</v>
      </c>
      <c r="H48" s="286">
        <f t="shared" si="7"/>
        <v>-0.5521745582</v>
      </c>
      <c r="I48" s="286">
        <f t="shared" si="7"/>
        <v>-0.5521745582</v>
      </c>
      <c r="J48" s="286">
        <f t="shared" si="7"/>
        <v>-0.5521745582</v>
      </c>
      <c r="K48" s="286">
        <f t="shared" si="7"/>
        <v>-0.5521745582</v>
      </c>
      <c r="L48" s="286">
        <f t="shared" si="7"/>
        <v>-0.5521745582</v>
      </c>
      <c r="M48" s="286">
        <f t="shared" si="7"/>
        <v>-0.5521745582</v>
      </c>
      <c r="N48" s="286">
        <f t="shared" si="7"/>
        <v>-0.2893992851</v>
      </c>
      <c r="O48" s="286">
        <f t="shared" si="7"/>
        <v>-0.2893992851</v>
      </c>
      <c r="P48" s="286">
        <f t="shared" si="7"/>
        <v>-0.2893992851</v>
      </c>
      <c r="Q48" s="286">
        <f t="shared" si="7"/>
        <v>-0.2893992851</v>
      </c>
      <c r="R48" s="286">
        <f t="shared" si="7"/>
        <v>-0.2893992851</v>
      </c>
      <c r="S48" s="286">
        <f t="shared" si="7"/>
        <v>-0.2893992851</v>
      </c>
      <c r="T48" s="286">
        <f t="shared" si="7"/>
        <v>-0.2893992851</v>
      </c>
      <c r="U48" s="286">
        <f t="shared" si="7"/>
        <v>-0.2893992851</v>
      </c>
      <c r="V48" s="286">
        <f t="shared" si="7"/>
        <v>-0.2893992851</v>
      </c>
      <c r="W48" s="286">
        <f t="shared" si="7"/>
        <v>-0.2893992851</v>
      </c>
      <c r="X48" s="286">
        <f t="shared" si="7"/>
        <v>-0.2893992851</v>
      </c>
    </row>
    <row r="49" ht="12.0" customHeight="1"/>
    <row r="50" ht="12.0" customHeight="1">
      <c r="D50" s="11" t="s">
        <v>884</v>
      </c>
      <c r="E50" s="108">
        <f>E47*E45^E48*VINMAX</f>
        <v>916.3193158</v>
      </c>
      <c r="F50" s="108">
        <f>F47*F45^F48*VINMAX</f>
        <v>801.552967</v>
      </c>
      <c r="G50" s="108">
        <f>G47*G45^G48*VINMAX</f>
        <v>701.1647042</v>
      </c>
      <c r="H50" s="108">
        <f>H47*H45^H48*VINMAX</f>
        <v>613.3536383</v>
      </c>
      <c r="I50" s="108">
        <f>I47*I45^I48*VINMAX</f>
        <v>536.5444801</v>
      </c>
      <c r="J50" s="108">
        <f>J47*J45^J48*VINMAX</f>
        <v>469.3592773</v>
      </c>
      <c r="K50" s="108">
        <f>K47*K45^K48*VINMAX</f>
        <v>410.5926909</v>
      </c>
      <c r="L50" s="108">
        <f>L47*L45^L48*VINMAX</f>
        <v>359.1903653</v>
      </c>
      <c r="M50" s="108">
        <f>M47*M45^M48*VINMAX</f>
        <v>314.2300053</v>
      </c>
      <c r="N50" s="108">
        <f>N47*N45^N48*VINMAX</f>
        <v>282.2823514</v>
      </c>
      <c r="O50" s="108">
        <f>O47*O45^O48*VINMAX</f>
        <v>263.1835452</v>
      </c>
      <c r="P50" s="108">
        <f>P47*P45^P48*VINMAX</f>
        <v>245.382068</v>
      </c>
      <c r="Q50" s="108">
        <f>Q47*Q45^Q48*VINMAX</f>
        <v>228.7903696</v>
      </c>
      <c r="R50" s="108">
        <f>R47*R45^R48*VINMAX</f>
        <v>213.3267616</v>
      </c>
      <c r="S50" s="108">
        <f>S47*S45^S48*VINMAX</f>
        <v>198.9149713</v>
      </c>
      <c r="T50" s="108">
        <f>T47*T45^T48*VINMAX</f>
        <v>185.4837168</v>
      </c>
      <c r="U50" s="108">
        <f>U47*U45^U48*VINMAX</f>
        <v>172.9663088</v>
      </c>
      <c r="V50" s="108">
        <f>V47*V45^V48*VINMAX</f>
        <v>161.3002887</v>
      </c>
      <c r="W50" s="108">
        <f>W47*W45^W48*VINMAX</f>
        <v>150.4271157</v>
      </c>
      <c r="X50" s="108">
        <f>X47*X45^X48*VINMAX</f>
        <v>140.2919176</v>
      </c>
    </row>
    <row r="51" ht="12.0" customHeight="1">
      <c r="D51" s="11" t="s">
        <v>885</v>
      </c>
      <c r="E51" s="108">
        <f t="shared" ref="E51:X51" si="8">E50*($J$18-$E$19)/($J$18 - 25)</f>
        <v>549.7915895</v>
      </c>
      <c r="F51" s="11">
        <f t="shared" si="8"/>
        <v>480.9317802</v>
      </c>
      <c r="G51" s="11">
        <f t="shared" si="8"/>
        <v>420.6988225</v>
      </c>
      <c r="H51" s="11">
        <f t="shared" si="8"/>
        <v>368.012183</v>
      </c>
      <c r="I51" s="11">
        <f t="shared" si="8"/>
        <v>321.9266881</v>
      </c>
      <c r="J51" s="11">
        <f t="shared" si="8"/>
        <v>281.6155664</v>
      </c>
      <c r="K51" s="11">
        <f t="shared" si="8"/>
        <v>246.3556145</v>
      </c>
      <c r="L51" s="11">
        <f t="shared" si="8"/>
        <v>215.5142192</v>
      </c>
      <c r="M51" s="11">
        <f t="shared" si="8"/>
        <v>188.5380032</v>
      </c>
      <c r="N51" s="11">
        <f t="shared" si="8"/>
        <v>169.3694109</v>
      </c>
      <c r="O51" s="11">
        <f t="shared" si="8"/>
        <v>157.9101271</v>
      </c>
      <c r="P51" s="11">
        <f t="shared" si="8"/>
        <v>147.2292408</v>
      </c>
      <c r="Q51" s="11">
        <f t="shared" si="8"/>
        <v>137.2742217</v>
      </c>
      <c r="R51" s="11">
        <f t="shared" si="8"/>
        <v>127.996057</v>
      </c>
      <c r="S51" s="11">
        <f t="shared" si="8"/>
        <v>119.3489828</v>
      </c>
      <c r="T51" s="11">
        <f t="shared" si="8"/>
        <v>111.2902301</v>
      </c>
      <c r="U51" s="11">
        <f t="shared" si="8"/>
        <v>103.7797853</v>
      </c>
      <c r="V51" s="11">
        <f t="shared" si="8"/>
        <v>96.78017324</v>
      </c>
      <c r="W51" s="11">
        <f t="shared" si="8"/>
        <v>90.25626939</v>
      </c>
      <c r="X51" s="11">
        <f t="shared" si="8"/>
        <v>84.17515058</v>
      </c>
    </row>
    <row r="52" ht="12.0" customHeight="1">
      <c r="D52" s="11" t="s">
        <v>144</v>
      </c>
      <c r="E52" s="108">
        <f t="shared" ref="E52:X52" si="9">E51/E44</f>
        <v>0.5062537657</v>
      </c>
      <c r="F52" s="108">
        <f t="shared" si="9"/>
        <v>0.5634549611</v>
      </c>
      <c r="G52" s="108">
        <f t="shared" si="9"/>
        <v>0.6268644763</v>
      </c>
      <c r="H52" s="108">
        <f t="shared" si="9"/>
        <v>0.6970502434</v>
      </c>
      <c r="I52" s="108">
        <f t="shared" si="9"/>
        <v>0.7745874</v>
      </c>
      <c r="J52" s="108">
        <f t="shared" si="9"/>
        <v>0.8600367832</v>
      </c>
      <c r="K52" s="108">
        <f t="shared" si="9"/>
        <v>0.9539131106</v>
      </c>
      <c r="L52" s="108">
        <f t="shared" si="9"/>
        <v>1.056639507</v>
      </c>
      <c r="M52" s="108">
        <f t="shared" si="9"/>
        <v>1.168484532</v>
      </c>
      <c r="N52" s="108">
        <f t="shared" si="9"/>
        <v>1.324083048</v>
      </c>
      <c r="O52" s="108">
        <f t="shared" si="9"/>
        <v>1.553108244</v>
      </c>
      <c r="P52" s="108">
        <f t="shared" si="9"/>
        <v>1.815833105</v>
      </c>
      <c r="Q52" s="108">
        <f t="shared" si="9"/>
        <v>2.114499784</v>
      </c>
      <c r="R52" s="108">
        <f t="shared" si="9"/>
        <v>2.450229748</v>
      </c>
      <c r="S52" s="108">
        <f t="shared" si="9"/>
        <v>2.822420587</v>
      </c>
      <c r="T52" s="108">
        <f t="shared" si="9"/>
        <v>3.228065314</v>
      </c>
      <c r="U52" s="108">
        <f t="shared" si="9"/>
        <v>3.661089906</v>
      </c>
      <c r="V52" s="108">
        <f t="shared" si="9"/>
        <v>4.111868196</v>
      </c>
      <c r="W52" s="108">
        <f t="shared" si="9"/>
        <v>4.567123453</v>
      </c>
      <c r="X52" s="108">
        <f t="shared" si="9"/>
        <v>5.01042563</v>
      </c>
    </row>
    <row r="53" ht="12.0" customHeight="1"/>
    <row r="54" ht="12.0" customHeight="1">
      <c r="D54" s="11" t="s">
        <v>886</v>
      </c>
      <c r="E54" s="108" t="str">
        <f t="shared" ref="E54:X54" si="10">IF(E52&gt;$E$20, "Y", "N")</f>
        <v>N</v>
      </c>
      <c r="F54" s="108" t="str">
        <f t="shared" si="10"/>
        <v>N</v>
      </c>
      <c r="G54" s="108" t="str">
        <f t="shared" si="10"/>
        <v>N</v>
      </c>
      <c r="H54" s="108" t="str">
        <f t="shared" si="10"/>
        <v>N</v>
      </c>
      <c r="I54" s="108" t="str">
        <f t="shared" si="10"/>
        <v>N</v>
      </c>
      <c r="J54" s="108" t="str">
        <f t="shared" si="10"/>
        <v>N</v>
      </c>
      <c r="K54" s="108" t="str">
        <f t="shared" si="10"/>
        <v>N</v>
      </c>
      <c r="L54" s="108" t="str">
        <f t="shared" si="10"/>
        <v>N</v>
      </c>
      <c r="M54" s="108" t="str">
        <f t="shared" si="10"/>
        <v>N</v>
      </c>
      <c r="N54" s="108" t="str">
        <f t="shared" si="10"/>
        <v>N</v>
      </c>
      <c r="O54" s="108" t="str">
        <f t="shared" si="10"/>
        <v>Y</v>
      </c>
      <c r="P54" s="108" t="str">
        <f t="shared" si="10"/>
        <v>Y</v>
      </c>
      <c r="Q54" s="108" t="str">
        <f t="shared" si="10"/>
        <v>Y</v>
      </c>
      <c r="R54" s="108" t="str">
        <f t="shared" si="10"/>
        <v>Y</v>
      </c>
      <c r="S54" s="108" t="str">
        <f t="shared" si="10"/>
        <v>Y</v>
      </c>
      <c r="T54" s="108" t="str">
        <f t="shared" si="10"/>
        <v>Y</v>
      </c>
      <c r="U54" s="108" t="str">
        <f t="shared" si="10"/>
        <v>Y</v>
      </c>
      <c r="V54" s="108" t="str">
        <f t="shared" si="10"/>
        <v>Y</v>
      </c>
      <c r="W54" s="108" t="str">
        <f t="shared" si="10"/>
        <v>Y</v>
      </c>
      <c r="X54" s="108" t="str">
        <f t="shared" si="10"/>
        <v>Y</v>
      </c>
      <c r="Y54" s="108" t="s">
        <v>887</v>
      </c>
    </row>
    <row r="55" ht="12.0" customHeight="1">
      <c r="D55" s="11" t="s">
        <v>888</v>
      </c>
      <c r="E55" s="108">
        <f>IF(E54="Y", 1, 0)</f>
        <v>0</v>
      </c>
      <c r="F55" s="108">
        <f t="shared" ref="F55:X55" si="11">IF(AND(F54="Y", E54="N"),  1, 0)</f>
        <v>0</v>
      </c>
      <c r="G55" s="108">
        <f t="shared" si="11"/>
        <v>0</v>
      </c>
      <c r="H55" s="108">
        <f t="shared" si="11"/>
        <v>0</v>
      </c>
      <c r="I55" s="108">
        <f t="shared" si="11"/>
        <v>0</v>
      </c>
      <c r="J55" s="108">
        <f t="shared" si="11"/>
        <v>0</v>
      </c>
      <c r="K55" s="108">
        <f t="shared" si="11"/>
        <v>0</v>
      </c>
      <c r="L55" s="108">
        <f t="shared" si="11"/>
        <v>0</v>
      </c>
      <c r="M55" s="108">
        <f t="shared" si="11"/>
        <v>0</v>
      </c>
      <c r="N55" s="108">
        <f t="shared" si="11"/>
        <v>0</v>
      </c>
      <c r="O55" s="108">
        <f t="shared" si="11"/>
        <v>1</v>
      </c>
      <c r="P55" s="108">
        <f t="shared" si="11"/>
        <v>0</v>
      </c>
      <c r="Q55" s="108">
        <f t="shared" si="11"/>
        <v>0</v>
      </c>
      <c r="R55" s="108">
        <f t="shared" si="11"/>
        <v>0</v>
      </c>
      <c r="S55" s="108">
        <f t="shared" si="11"/>
        <v>0</v>
      </c>
      <c r="T55" s="108">
        <f t="shared" si="11"/>
        <v>0</v>
      </c>
      <c r="U55" s="108">
        <f t="shared" si="11"/>
        <v>0</v>
      </c>
      <c r="V55" s="108">
        <f t="shared" si="11"/>
        <v>0</v>
      </c>
      <c r="W55" s="108">
        <f t="shared" si="11"/>
        <v>0</v>
      </c>
      <c r="X55" s="108">
        <f t="shared" si="11"/>
        <v>0</v>
      </c>
    </row>
    <row r="56" ht="12.0" customHeight="1">
      <c r="D56" s="11" t="s">
        <v>889</v>
      </c>
      <c r="E56" s="108">
        <v>0.0</v>
      </c>
      <c r="F56" s="108">
        <f t="shared" ref="F56:X56" si="12">IF(AND(F54="Y", G54="N"),  1, 0)</f>
        <v>0</v>
      </c>
      <c r="G56" s="108">
        <f t="shared" si="12"/>
        <v>0</v>
      </c>
      <c r="H56" s="108">
        <f t="shared" si="12"/>
        <v>0</v>
      </c>
      <c r="I56" s="108">
        <f t="shared" si="12"/>
        <v>0</v>
      </c>
      <c r="J56" s="108">
        <f t="shared" si="12"/>
        <v>0</v>
      </c>
      <c r="K56" s="108">
        <f t="shared" si="12"/>
        <v>0</v>
      </c>
      <c r="L56" s="108">
        <f t="shared" si="12"/>
        <v>0</v>
      </c>
      <c r="M56" s="108">
        <f t="shared" si="12"/>
        <v>0</v>
      </c>
      <c r="N56" s="108">
        <f t="shared" si="12"/>
        <v>0</v>
      </c>
      <c r="O56" s="108">
        <f t="shared" si="12"/>
        <v>0</v>
      </c>
      <c r="P56" s="108">
        <f t="shared" si="12"/>
        <v>0</v>
      </c>
      <c r="Q56" s="108">
        <f t="shared" si="12"/>
        <v>0</v>
      </c>
      <c r="R56" s="108">
        <f t="shared" si="12"/>
        <v>0</v>
      </c>
      <c r="S56" s="108">
        <f t="shared" si="12"/>
        <v>0</v>
      </c>
      <c r="T56" s="108">
        <f t="shared" si="12"/>
        <v>0</v>
      </c>
      <c r="U56" s="108">
        <f t="shared" si="12"/>
        <v>0</v>
      </c>
      <c r="V56" s="108">
        <f t="shared" si="12"/>
        <v>0</v>
      </c>
      <c r="W56" s="108">
        <f t="shared" si="12"/>
        <v>0</v>
      </c>
      <c r="X56" s="108">
        <f t="shared" si="12"/>
        <v>1</v>
      </c>
    </row>
    <row r="57" ht="12.0" customHeight="1"/>
    <row r="58" ht="12.0" customHeight="1">
      <c r="D58" s="108" t="s">
        <v>890</v>
      </c>
      <c r="E58" s="108">
        <f t="shared" ref="E58:X58" si="13">E55*E35</f>
        <v>0</v>
      </c>
      <c r="F58" s="108">
        <f t="shared" si="13"/>
        <v>0</v>
      </c>
      <c r="G58" s="108">
        <f t="shared" si="13"/>
        <v>0</v>
      </c>
      <c r="H58" s="108">
        <f t="shared" si="13"/>
        <v>0</v>
      </c>
      <c r="I58" s="108">
        <f t="shared" si="13"/>
        <v>0</v>
      </c>
      <c r="J58" s="108">
        <f t="shared" si="13"/>
        <v>0</v>
      </c>
      <c r="K58" s="108">
        <f t="shared" si="13"/>
        <v>0</v>
      </c>
      <c r="L58" s="108">
        <f t="shared" si="13"/>
        <v>0</v>
      </c>
      <c r="M58" s="108">
        <f t="shared" si="13"/>
        <v>0</v>
      </c>
      <c r="N58" s="108">
        <f t="shared" si="13"/>
        <v>0</v>
      </c>
      <c r="O58" s="108">
        <f t="shared" si="13"/>
        <v>1.063040148</v>
      </c>
      <c r="P58" s="108">
        <f t="shared" si="13"/>
        <v>0</v>
      </c>
      <c r="Q58" s="108">
        <f t="shared" si="13"/>
        <v>0</v>
      </c>
      <c r="R58" s="108">
        <f t="shared" si="13"/>
        <v>0</v>
      </c>
      <c r="S58" s="108">
        <f t="shared" si="13"/>
        <v>0</v>
      </c>
      <c r="T58" s="108">
        <f t="shared" si="13"/>
        <v>0</v>
      </c>
      <c r="U58" s="108">
        <f t="shared" si="13"/>
        <v>0</v>
      </c>
      <c r="V58" s="108">
        <f t="shared" si="13"/>
        <v>0</v>
      </c>
      <c r="W58" s="108">
        <f t="shared" si="13"/>
        <v>0</v>
      </c>
      <c r="X58" s="108">
        <f t="shared" si="13"/>
        <v>0</v>
      </c>
    </row>
    <row r="59" ht="12.0" customHeight="1">
      <c r="D59" s="108" t="s">
        <v>891</v>
      </c>
      <c r="E59" s="108">
        <f t="shared" ref="E59:X59" si="14">E35*E56</f>
        <v>0</v>
      </c>
      <c r="F59" s="108">
        <f t="shared" si="14"/>
        <v>0</v>
      </c>
      <c r="G59" s="108">
        <f t="shared" si="14"/>
        <v>0</v>
      </c>
      <c r="H59" s="108">
        <f t="shared" si="14"/>
        <v>0</v>
      </c>
      <c r="I59" s="108">
        <f t="shared" si="14"/>
        <v>0</v>
      </c>
      <c r="J59" s="108">
        <f t="shared" si="14"/>
        <v>0</v>
      </c>
      <c r="K59" s="108">
        <f t="shared" si="14"/>
        <v>0</v>
      </c>
      <c r="L59" s="108">
        <f t="shared" si="14"/>
        <v>0</v>
      </c>
      <c r="M59" s="108">
        <f t="shared" si="14"/>
        <v>0</v>
      </c>
      <c r="N59" s="108">
        <f t="shared" si="14"/>
        <v>0</v>
      </c>
      <c r="O59" s="108">
        <f t="shared" si="14"/>
        <v>0</v>
      </c>
      <c r="P59" s="108">
        <f t="shared" si="14"/>
        <v>0</v>
      </c>
      <c r="Q59" s="108">
        <f t="shared" si="14"/>
        <v>0</v>
      </c>
      <c r="R59" s="108">
        <f t="shared" si="14"/>
        <v>0</v>
      </c>
      <c r="S59" s="108">
        <f t="shared" si="14"/>
        <v>0</v>
      </c>
      <c r="T59" s="108">
        <f t="shared" si="14"/>
        <v>0</v>
      </c>
      <c r="U59" s="108">
        <f t="shared" si="14"/>
        <v>0</v>
      </c>
      <c r="V59" s="108">
        <f t="shared" si="14"/>
        <v>0</v>
      </c>
      <c r="W59" s="108">
        <f t="shared" si="14"/>
        <v>0</v>
      </c>
      <c r="X59" s="108">
        <f t="shared" si="14"/>
        <v>0.12</v>
      </c>
    </row>
    <row r="60" ht="12.0" customHeight="1"/>
    <row r="61" ht="12.0" customHeight="1"/>
    <row r="62" ht="12.0" customHeight="1">
      <c r="D62" s="296" t="s">
        <v>838</v>
      </c>
      <c r="E62" s="11"/>
      <c r="F62" s="11"/>
      <c r="G62" s="11"/>
      <c r="H62" s="11"/>
      <c r="I62" s="11"/>
      <c r="J62" s="11"/>
      <c r="K62" s="11"/>
      <c r="L62" s="11"/>
      <c r="M62" s="11"/>
      <c r="N62" s="11"/>
      <c r="O62" s="11"/>
      <c r="P62" s="11"/>
      <c r="Q62" s="11"/>
      <c r="R62" s="11"/>
      <c r="S62" s="11"/>
      <c r="T62" s="11"/>
      <c r="U62" s="11"/>
      <c r="V62" s="11"/>
      <c r="W62" s="11"/>
      <c r="X62" s="11"/>
      <c r="Y62" s="11"/>
    </row>
    <row r="63" ht="12.0" customHeight="1">
      <c r="D63" s="287" t="s">
        <v>856</v>
      </c>
      <c r="E63" s="11"/>
      <c r="F63" s="11"/>
      <c r="G63" s="11"/>
      <c r="H63" s="11"/>
      <c r="I63" s="235" t="s">
        <v>333</v>
      </c>
      <c r="J63" s="11">
        <f>'Design Calculator'!G56</f>
        <v>175</v>
      </c>
      <c r="K63" s="11" t="s">
        <v>892</v>
      </c>
      <c r="L63" s="11"/>
      <c r="M63" s="11"/>
      <c r="N63" s="11"/>
      <c r="O63" s="11"/>
      <c r="P63" s="11"/>
      <c r="Q63" s="11"/>
      <c r="R63" s="11"/>
      <c r="S63" s="11"/>
      <c r="T63" s="11"/>
      <c r="U63" s="11"/>
      <c r="V63" s="11"/>
      <c r="W63" s="11"/>
      <c r="X63" s="11"/>
      <c r="Y63" s="11"/>
    </row>
    <row r="64" ht="12.0" customHeight="1">
      <c r="D64" s="11" t="s">
        <v>858</v>
      </c>
      <c r="E64" s="11">
        <f>SOA!H76</f>
        <v>85</v>
      </c>
      <c r="F64" s="11"/>
      <c r="G64" s="11"/>
      <c r="H64" s="11"/>
      <c r="I64" s="11"/>
      <c r="J64" s="11"/>
      <c r="K64" s="11"/>
      <c r="L64" s="11"/>
      <c r="M64" s="11"/>
      <c r="N64" s="11"/>
      <c r="O64" s="11"/>
      <c r="P64" s="11"/>
      <c r="Q64" s="11"/>
      <c r="R64" s="11"/>
      <c r="S64" s="11"/>
      <c r="T64" s="11"/>
      <c r="U64" s="11"/>
      <c r="V64" s="11"/>
      <c r="W64" s="11"/>
      <c r="X64" s="11"/>
      <c r="Y64" s="11"/>
    </row>
    <row r="65" ht="12.0" customHeight="1">
      <c r="D65" s="11" t="s">
        <v>859</v>
      </c>
      <c r="E65" s="11">
        <v>1.5</v>
      </c>
      <c r="F65" s="11"/>
      <c r="G65" s="11"/>
      <c r="H65" s="11"/>
      <c r="I65" s="252" t="s">
        <v>826</v>
      </c>
      <c r="J65" s="11"/>
      <c r="K65" s="262"/>
      <c r="L65" s="262"/>
      <c r="M65" s="262"/>
      <c r="N65" s="11"/>
      <c r="O65" s="11"/>
      <c r="P65" s="11"/>
      <c r="Q65" s="11"/>
      <c r="R65" s="11"/>
      <c r="S65" s="11"/>
      <c r="T65" s="11"/>
      <c r="U65" s="11"/>
      <c r="V65" s="11"/>
      <c r="W65" s="11"/>
      <c r="X65" s="11"/>
      <c r="Y65" s="11"/>
    </row>
    <row r="66" ht="12.0" customHeight="1">
      <c r="D66" s="11" t="s">
        <v>860</v>
      </c>
      <c r="E66" s="11">
        <f>1/2*COUTMAX*VINMAX^2*0.000001</f>
        <v>1.35</v>
      </c>
      <c r="F66" s="11"/>
      <c r="G66" s="11"/>
      <c r="H66" s="11"/>
      <c r="I66" s="11"/>
      <c r="J66" s="287" t="s">
        <v>861</v>
      </c>
      <c r="K66" s="304" t="s">
        <v>893</v>
      </c>
      <c r="L66" s="304" t="s">
        <v>863</v>
      </c>
      <c r="M66" s="304" t="s">
        <v>864</v>
      </c>
      <c r="N66" s="11"/>
      <c r="O66" s="11"/>
      <c r="P66" s="11"/>
      <c r="Q66" s="11"/>
      <c r="R66" s="11"/>
      <c r="S66" s="11"/>
      <c r="T66" s="11"/>
      <c r="U66" s="11"/>
      <c r="V66" s="11"/>
      <c r="W66" s="11"/>
      <c r="X66" s="11"/>
      <c r="Y66" s="11"/>
    </row>
    <row r="67" ht="12.0" customHeight="1">
      <c r="D67" s="11" t="s">
        <v>865</v>
      </c>
      <c r="E67" s="289">
        <f>MAX(Equations!G71-E66,0)</f>
        <v>0.82265625</v>
      </c>
      <c r="F67" s="11"/>
      <c r="G67" s="11"/>
      <c r="H67" s="11"/>
      <c r="I67" s="252" t="s">
        <v>831</v>
      </c>
      <c r="J67" s="252">
        <v>0.01</v>
      </c>
      <c r="K67" s="252">
        <v>0.1</v>
      </c>
      <c r="L67" s="252">
        <v>1.0</v>
      </c>
      <c r="M67" s="252">
        <v>10.0</v>
      </c>
      <c r="N67" s="11"/>
      <c r="O67" s="11"/>
      <c r="P67" s="11"/>
      <c r="Q67" s="11"/>
      <c r="R67" s="11"/>
      <c r="S67" s="11"/>
      <c r="T67" s="11"/>
      <c r="U67" s="11"/>
      <c r="V67" s="11"/>
      <c r="W67" s="11"/>
      <c r="X67" s="11"/>
      <c r="Y67" s="11"/>
    </row>
    <row r="68" ht="12.0" customHeight="1">
      <c r="D68" s="11" t="s">
        <v>866</v>
      </c>
      <c r="E68" s="11">
        <f>Equations!G70</f>
        <v>281.25</v>
      </c>
      <c r="F68" s="11"/>
      <c r="G68" s="11"/>
      <c r="H68" s="11"/>
      <c r="I68" s="252" t="s">
        <v>832</v>
      </c>
      <c r="J68" s="252">
        <v>0.1</v>
      </c>
      <c r="K68" s="252">
        <v>1.0</v>
      </c>
      <c r="L68" s="252">
        <v>10.0</v>
      </c>
      <c r="M68" s="252">
        <v>100.0</v>
      </c>
      <c r="N68" s="11"/>
      <c r="O68" s="11"/>
      <c r="P68" s="11"/>
      <c r="Q68" s="11"/>
      <c r="R68" s="11"/>
      <c r="S68" s="11"/>
      <c r="T68" s="11"/>
      <c r="U68" s="11"/>
      <c r="V68" s="11"/>
      <c r="W68" s="11"/>
      <c r="X68" s="11"/>
      <c r="Y68" s="11"/>
    </row>
    <row r="69" ht="12.0" customHeight="1">
      <c r="D69" s="11"/>
      <c r="E69" s="11"/>
      <c r="F69" s="11"/>
      <c r="G69" s="11"/>
      <c r="H69" s="11"/>
      <c r="I69" s="252" t="s">
        <v>634</v>
      </c>
      <c r="J69" s="252">
        <f>SOA!C84</f>
        <v>34.00371939</v>
      </c>
      <c r="K69" s="252">
        <f>SOA!D84</f>
        <v>13.45503614</v>
      </c>
      <c r="L69" s="252">
        <f>SOA!E84</f>
        <v>13.45503614</v>
      </c>
      <c r="M69" s="252">
        <f>SOA!F84</f>
        <v>9.86670772</v>
      </c>
      <c r="N69" s="11"/>
      <c r="O69" s="11"/>
      <c r="P69" s="11"/>
      <c r="Q69" s="11"/>
      <c r="R69" s="11"/>
      <c r="S69" s="11"/>
      <c r="T69" s="11"/>
      <c r="U69" s="11"/>
      <c r="V69" s="11"/>
      <c r="W69" s="11"/>
      <c r="X69" s="11"/>
      <c r="Y69" s="11"/>
    </row>
    <row r="70" ht="12.0" customHeight="1">
      <c r="D70" s="11" t="s">
        <v>68</v>
      </c>
      <c r="E70" s="11">
        <f>'Design Calculator'!F27</f>
        <v>0</v>
      </c>
      <c r="F70" s="11"/>
      <c r="G70" s="11"/>
      <c r="H70" s="11"/>
      <c r="I70" s="252" t="s">
        <v>635</v>
      </c>
      <c r="J70" s="262">
        <f>SOA!C85</f>
        <v>-0.5352667838</v>
      </c>
      <c r="K70" s="262">
        <f>SOA!D85</f>
        <v>-0.9379083388</v>
      </c>
      <c r="L70" s="262">
        <f>SOA!E85</f>
        <v>-0.4437177052</v>
      </c>
      <c r="M70" s="262">
        <f>SOA!F85</f>
        <v>-0.3090050999</v>
      </c>
      <c r="N70" s="11"/>
      <c r="O70" s="11"/>
      <c r="P70" s="11"/>
      <c r="Q70" s="11"/>
      <c r="R70" s="11"/>
      <c r="S70" s="11"/>
      <c r="T70" s="11"/>
      <c r="U70" s="11"/>
      <c r="V70" s="11"/>
      <c r="W70" s="11"/>
      <c r="X70" s="11"/>
      <c r="Y70" s="11"/>
    </row>
    <row r="71" ht="12.0" customHeight="1">
      <c r="D71" s="11" t="s">
        <v>69</v>
      </c>
      <c r="E71" s="11" t="str">
        <f>'Design Calculator'!F28</f>
        <v>Constant Current</v>
      </c>
      <c r="F71" s="11"/>
      <c r="G71" s="11"/>
      <c r="H71" s="11"/>
      <c r="I71" s="11"/>
      <c r="J71" s="11"/>
      <c r="K71" s="11"/>
      <c r="L71" s="11"/>
      <c r="M71" s="11"/>
      <c r="N71" s="11"/>
      <c r="O71" s="11"/>
      <c r="P71" s="11"/>
      <c r="Q71" s="11"/>
      <c r="R71" s="11"/>
      <c r="S71" s="11"/>
      <c r="T71" s="11"/>
      <c r="U71" s="11"/>
      <c r="V71" s="11"/>
      <c r="W71" s="11"/>
      <c r="X71" s="11"/>
      <c r="Y71" s="11"/>
    </row>
    <row r="72" ht="12.0" customHeight="1">
      <c r="D72" s="11" t="s">
        <v>72</v>
      </c>
      <c r="E72" s="11">
        <f>'Design Calculator'!F29</f>
        <v>0.2</v>
      </c>
      <c r="F72" s="11"/>
      <c r="G72" s="11"/>
      <c r="H72" s="11"/>
      <c r="I72" s="264" t="s">
        <v>867</v>
      </c>
      <c r="J72" s="287" t="s">
        <v>793</v>
      </c>
      <c r="K72" s="11"/>
      <c r="L72" s="11"/>
      <c r="M72" s="11"/>
      <c r="N72" s="11"/>
      <c r="O72" s="11"/>
      <c r="P72" s="11"/>
      <c r="Q72" s="11"/>
      <c r="R72" s="11"/>
      <c r="S72" s="11"/>
      <c r="T72" s="11"/>
      <c r="U72" s="11"/>
      <c r="V72" s="11"/>
      <c r="W72" s="11"/>
      <c r="X72" s="11"/>
      <c r="Y72" s="11"/>
    </row>
    <row r="73" ht="12.0" customHeight="1">
      <c r="D73" s="11"/>
      <c r="E73" s="11"/>
      <c r="F73" s="11"/>
      <c r="G73" s="11" t="s">
        <v>868</v>
      </c>
      <c r="H73" s="11"/>
      <c r="I73" s="143">
        <f t="shared" ref="I73:I74" si="15">SUM(E103:X103)</f>
        <v>0.3163981078</v>
      </c>
      <c r="J73" s="143">
        <f>IF(I73=0, "NA", I73/AVERAGE(1, E77))</f>
        <v>0.3545553611</v>
      </c>
      <c r="K73" s="11"/>
      <c r="L73" s="11"/>
      <c r="M73" s="11"/>
      <c r="N73" s="11"/>
      <c r="O73" s="11"/>
      <c r="P73" s="11"/>
      <c r="Q73" s="11"/>
      <c r="R73" s="11"/>
      <c r="S73" s="11"/>
      <c r="T73" s="11"/>
      <c r="U73" s="11"/>
      <c r="V73" s="11"/>
      <c r="W73" s="11"/>
      <c r="X73" s="11"/>
      <c r="Y73" s="11"/>
    </row>
    <row r="74" ht="12.0" customHeight="1">
      <c r="D74" s="11" t="s">
        <v>869</v>
      </c>
      <c r="E74" s="11">
        <f>12/1</f>
        <v>12</v>
      </c>
      <c r="F74" s="11"/>
      <c r="G74" s="11" t="s">
        <v>870</v>
      </c>
      <c r="H74" s="11"/>
      <c r="I74" s="143">
        <f t="shared" si="15"/>
        <v>0.12</v>
      </c>
      <c r="J74" s="143">
        <f>IF(I74=0, "NA", I74*AVERAGE(1,E77))</f>
        <v>0.1070855982</v>
      </c>
      <c r="K74" s="11"/>
      <c r="L74" s="11"/>
      <c r="M74" s="11"/>
      <c r="N74" s="11"/>
      <c r="O74" s="11"/>
      <c r="P74" s="11"/>
      <c r="Q74" s="11"/>
      <c r="R74" s="11"/>
      <c r="S74" s="11"/>
      <c r="T74" s="11"/>
      <c r="U74" s="11"/>
      <c r="V74" s="11"/>
      <c r="W74" s="11"/>
      <c r="X74" s="11"/>
      <c r="Y74" s="11"/>
    </row>
    <row r="75" ht="12.0" customHeight="1">
      <c r="D75" s="11" t="s">
        <v>871</v>
      </c>
      <c r="E75" s="11">
        <v>0.12</v>
      </c>
      <c r="F75" s="11"/>
      <c r="G75" s="11"/>
      <c r="H75" s="11"/>
      <c r="I75" s="11"/>
      <c r="J75" s="11"/>
      <c r="K75" s="11"/>
      <c r="L75" s="11"/>
      <c r="M75" s="11"/>
      <c r="N75" s="11"/>
      <c r="O75" s="11"/>
      <c r="P75" s="11"/>
      <c r="Q75" s="11"/>
      <c r="R75" s="11"/>
      <c r="S75" s="11"/>
      <c r="T75" s="11"/>
      <c r="U75" s="11"/>
      <c r="V75" s="11"/>
      <c r="W75" s="11"/>
      <c r="X75" s="11"/>
      <c r="Y75" s="11"/>
    </row>
    <row r="76" ht="12.0" customHeight="1">
      <c r="D76" s="11" t="s">
        <v>872</v>
      </c>
      <c r="E76" s="11">
        <v>20.0</v>
      </c>
      <c r="F76" s="11"/>
      <c r="G76" s="11"/>
      <c r="H76" s="11"/>
      <c r="I76" s="11"/>
      <c r="J76" s="11"/>
      <c r="K76" s="11"/>
      <c r="L76" s="11"/>
      <c r="M76" s="11"/>
      <c r="N76" s="11"/>
      <c r="O76" s="11"/>
      <c r="P76" s="11"/>
      <c r="Q76" s="11"/>
      <c r="R76" s="11"/>
      <c r="S76" s="11"/>
      <c r="T76" s="11"/>
      <c r="U76" s="11"/>
      <c r="V76" s="11"/>
      <c r="W76" s="11"/>
      <c r="X76" s="11"/>
      <c r="Y76" s="11"/>
    </row>
    <row r="77" ht="12.0" customHeight="1">
      <c r="D77" s="11" t="s">
        <v>873</v>
      </c>
      <c r="E77" s="11">
        <f>(E75/E74)^(1/(E76-1))</f>
        <v>0.7847599704</v>
      </c>
      <c r="F77" s="11"/>
      <c r="G77" s="11"/>
      <c r="H77" s="11"/>
      <c r="I77" s="11"/>
      <c r="J77" s="11"/>
      <c r="K77" s="11"/>
      <c r="L77" s="11"/>
      <c r="M77" s="11"/>
      <c r="N77" s="11"/>
      <c r="O77" s="11"/>
      <c r="P77" s="11"/>
      <c r="Q77" s="11"/>
      <c r="R77" s="11"/>
      <c r="S77" s="11"/>
      <c r="T77" s="11"/>
      <c r="U77" s="11"/>
      <c r="V77" s="11"/>
      <c r="W77" s="11"/>
      <c r="X77" s="11"/>
      <c r="Y77" s="11"/>
    </row>
    <row r="78" ht="12.0" customHeight="1">
      <c r="D78" s="11"/>
      <c r="E78" s="11"/>
      <c r="F78" s="11"/>
      <c r="G78" s="11"/>
      <c r="H78" s="11"/>
      <c r="I78" s="11"/>
      <c r="J78" s="11"/>
      <c r="K78" s="11"/>
      <c r="L78" s="11"/>
      <c r="M78" s="11"/>
      <c r="N78" s="11"/>
      <c r="O78" s="11"/>
      <c r="P78" s="11"/>
      <c r="Q78" s="11"/>
      <c r="R78" s="11"/>
      <c r="S78" s="11"/>
      <c r="T78" s="11"/>
      <c r="U78" s="11"/>
      <c r="V78" s="11"/>
      <c r="W78" s="11"/>
      <c r="X78" s="11"/>
      <c r="Y78" s="11"/>
    </row>
    <row r="79" ht="12.0" customHeight="1">
      <c r="D79" s="11"/>
      <c r="E79" s="11">
        <v>1.0</v>
      </c>
      <c r="F79" s="11">
        <v>2.0</v>
      </c>
      <c r="G79" s="11">
        <v>3.0</v>
      </c>
      <c r="H79" s="11">
        <v>4.0</v>
      </c>
      <c r="I79" s="11">
        <v>5.0</v>
      </c>
      <c r="J79" s="11">
        <v>6.0</v>
      </c>
      <c r="K79" s="11">
        <v>7.0</v>
      </c>
      <c r="L79" s="11">
        <v>8.0</v>
      </c>
      <c r="M79" s="11">
        <v>9.0</v>
      </c>
      <c r="N79" s="11">
        <v>10.0</v>
      </c>
      <c r="O79" s="11">
        <v>11.0</v>
      </c>
      <c r="P79" s="11">
        <v>12.0</v>
      </c>
      <c r="Q79" s="11">
        <v>13.0</v>
      </c>
      <c r="R79" s="11">
        <v>14.0</v>
      </c>
      <c r="S79" s="11">
        <v>15.0</v>
      </c>
      <c r="T79" s="11">
        <v>16.0</v>
      </c>
      <c r="U79" s="11">
        <v>17.0</v>
      </c>
      <c r="V79" s="11">
        <v>18.0</v>
      </c>
      <c r="W79" s="11">
        <v>19.0</v>
      </c>
      <c r="X79" s="11">
        <v>20.0</v>
      </c>
      <c r="Y79" s="11"/>
    </row>
    <row r="80" ht="12.0" customHeight="1">
      <c r="D80" s="314" t="s">
        <v>874</v>
      </c>
      <c r="E80" s="314">
        <f>E74</f>
        <v>12</v>
      </c>
      <c r="F80" s="314">
        <f t="shared" ref="F80:X80" si="16">E80*$E$32</f>
        <v>9.417119644</v>
      </c>
      <c r="G80" s="314">
        <f t="shared" si="16"/>
        <v>7.390178533</v>
      </c>
      <c r="H80" s="314">
        <f t="shared" si="16"/>
        <v>5.799516286</v>
      </c>
      <c r="I80" s="314">
        <f t="shared" si="16"/>
        <v>4.551228229</v>
      </c>
      <c r="J80" s="314">
        <f t="shared" si="16"/>
        <v>3.57162173</v>
      </c>
      <c r="K80" s="314">
        <f t="shared" si="16"/>
        <v>2.802865763</v>
      </c>
      <c r="L80" s="314">
        <f t="shared" si="16"/>
        <v>2.199576853</v>
      </c>
      <c r="M80" s="314">
        <f t="shared" si="16"/>
        <v>1.726139866</v>
      </c>
      <c r="N80" s="314">
        <f t="shared" si="16"/>
        <v>1.35460547</v>
      </c>
      <c r="O80" s="314">
        <f t="shared" si="16"/>
        <v>1.063040148</v>
      </c>
      <c r="P80" s="314">
        <f t="shared" si="16"/>
        <v>0.8342313554</v>
      </c>
      <c r="Q80" s="314">
        <f t="shared" si="16"/>
        <v>0.6546713737</v>
      </c>
      <c r="R80" s="314">
        <f t="shared" si="16"/>
        <v>0.5137598878</v>
      </c>
      <c r="S80" s="314">
        <f t="shared" si="16"/>
        <v>0.4031781944</v>
      </c>
      <c r="T80" s="314">
        <f t="shared" si="16"/>
        <v>0.3163981078</v>
      </c>
      <c r="U80" s="314">
        <f t="shared" si="16"/>
        <v>0.2482965697</v>
      </c>
      <c r="V80" s="314">
        <f t="shared" si="16"/>
        <v>0.1948532087</v>
      </c>
      <c r="W80" s="314">
        <f t="shared" si="16"/>
        <v>0.1529129983</v>
      </c>
      <c r="X80" s="314">
        <f t="shared" si="16"/>
        <v>0.12</v>
      </c>
      <c r="Y80" s="11"/>
    </row>
    <row r="81" ht="12.0" customHeight="1">
      <c r="D81" s="11" t="s">
        <v>875</v>
      </c>
      <c r="E81" s="11">
        <f>VINMAX/E80</f>
        <v>2.5</v>
      </c>
      <c r="F81" s="11">
        <f>VINMAX/F80</f>
        <v>3.185687464</v>
      </c>
      <c r="G81" s="11">
        <f>VINMAX/G80</f>
        <v>4.059441848</v>
      </c>
      <c r="H81" s="11">
        <f>VINMAX/H80</f>
        <v>5.172845203</v>
      </c>
      <c r="I81" s="11">
        <f>VINMAX/I80</f>
        <v>6.591627247</v>
      </c>
      <c r="J81" s="11">
        <f>VINMAX/J80</f>
        <v>8.399545716</v>
      </c>
      <c r="K81" s="11">
        <f>VINMAX/K80</f>
        <v>10.703331</v>
      </c>
      <c r="L81" s="11">
        <f>VINMAX/L80</f>
        <v>13.63898695</v>
      </c>
      <c r="M81" s="11">
        <f>VINMAX/M80</f>
        <v>17.3798199</v>
      </c>
      <c r="N81" s="11">
        <f>VINMAX/N80</f>
        <v>22.14666976</v>
      </c>
      <c r="O81" s="11">
        <f>VINMAX/O80</f>
        <v>28.22094729</v>
      </c>
      <c r="P81" s="11">
        <f>VINMAX/P80</f>
        <v>35.96124721</v>
      </c>
      <c r="Q81" s="11">
        <f>VINMAX/Q80</f>
        <v>45.82451777</v>
      </c>
      <c r="R81" s="11">
        <f>VINMAX/R80</f>
        <v>58.39303673</v>
      </c>
      <c r="S81" s="11">
        <f>VINMAX/S80</f>
        <v>74.40878604</v>
      </c>
      <c r="T81" s="11">
        <f>VINMAX/T80</f>
        <v>94.81725477</v>
      </c>
      <c r="U81" s="11">
        <f>VINMAX/U80</f>
        <v>120.823256</v>
      </c>
      <c r="V81" s="11">
        <f>VINMAX/V80</f>
        <v>153.9620528</v>
      </c>
      <c r="W81" s="11">
        <f>VINMAX/W80</f>
        <v>196.1899926</v>
      </c>
      <c r="X81" s="11">
        <f>VINMAX/X80</f>
        <v>250</v>
      </c>
      <c r="Y81" s="11"/>
    </row>
    <row r="82" ht="12.0" customHeight="1">
      <c r="D82" s="11" t="s">
        <v>876</v>
      </c>
      <c r="E82" s="11">
        <f>E80*COUTMAX/1000</f>
        <v>36</v>
      </c>
      <c r="F82" s="11">
        <f>F80*COUTMAX/1000</f>
        <v>28.25135893</v>
      </c>
      <c r="G82" s="11">
        <f>G80*COUTMAX/1000</f>
        <v>22.1705356</v>
      </c>
      <c r="H82" s="11">
        <f>H80*COUTMAX/1000</f>
        <v>17.39854886</v>
      </c>
      <c r="I82" s="11">
        <f>I80*COUTMAX/1000</f>
        <v>13.65368469</v>
      </c>
      <c r="J82" s="11">
        <f>J80*COUTMAX/1000</f>
        <v>10.71486519</v>
      </c>
      <c r="K82" s="11">
        <f>K80*COUTMAX/1000</f>
        <v>8.408597289</v>
      </c>
      <c r="L82" s="11">
        <f>L80*COUTMAX/1000</f>
        <v>6.598730559</v>
      </c>
      <c r="M82" s="11">
        <f>M80*COUTMAX/1000</f>
        <v>5.178419598</v>
      </c>
      <c r="N82" s="11">
        <f>N80*COUTMAX/1000</f>
        <v>4.06381641</v>
      </c>
      <c r="O82" s="11">
        <f>O80*COUTMAX/1000</f>
        <v>3.189120445</v>
      </c>
      <c r="P82" s="11">
        <f>P80*COUTMAX/1000</f>
        <v>2.502694066</v>
      </c>
      <c r="Q82" s="11">
        <f>Q80*COUTMAX/1000</f>
        <v>1.964014121</v>
      </c>
      <c r="R82" s="11">
        <f>R80*COUTMAX/1000</f>
        <v>1.541279664</v>
      </c>
      <c r="S82" s="11">
        <f>S80*COUTMAX/1000</f>
        <v>1.209534583</v>
      </c>
      <c r="T82" s="11">
        <f>T80*COUTMAX/1000</f>
        <v>0.9491943235</v>
      </c>
      <c r="U82" s="11">
        <f>U80*COUTMAX/1000</f>
        <v>0.7448897092</v>
      </c>
      <c r="V82" s="11">
        <f>V80*COUTMAX/1000</f>
        <v>0.5845596261</v>
      </c>
      <c r="W82" s="11">
        <f>W80*COUTMAX/1000</f>
        <v>0.4587389949</v>
      </c>
      <c r="X82" s="11">
        <f>X80*COUTMAX/1000</f>
        <v>0.36</v>
      </c>
      <c r="Y82" s="11"/>
    </row>
    <row r="83" ht="12.0" customHeight="1">
      <c r="D83" s="11" t="s">
        <v>877</v>
      </c>
      <c r="E83" s="289">
        <f t="shared" ref="E83:X83" si="17">$E$66+$E$67*E81/$E$68</f>
        <v>1.3573125</v>
      </c>
      <c r="F83" s="289">
        <f t="shared" si="17"/>
        <v>1.359318136</v>
      </c>
      <c r="G83" s="289">
        <f t="shared" si="17"/>
        <v>1.361873867</v>
      </c>
      <c r="H83" s="289">
        <f t="shared" si="17"/>
        <v>1.365130572</v>
      </c>
      <c r="I83" s="289">
        <f t="shared" si="17"/>
        <v>1.36928051</v>
      </c>
      <c r="J83" s="289">
        <f t="shared" si="17"/>
        <v>1.374568671</v>
      </c>
      <c r="K83" s="289">
        <f t="shared" si="17"/>
        <v>1.381307243</v>
      </c>
      <c r="L83" s="289">
        <f t="shared" si="17"/>
        <v>1.389894037</v>
      </c>
      <c r="M83" s="289">
        <f t="shared" si="17"/>
        <v>1.400835973</v>
      </c>
      <c r="N83" s="289">
        <f t="shared" si="17"/>
        <v>1.414779009</v>
      </c>
      <c r="O83" s="289">
        <f t="shared" si="17"/>
        <v>1.432546271</v>
      </c>
      <c r="P83" s="289">
        <f t="shared" si="17"/>
        <v>1.455186648</v>
      </c>
      <c r="Q83" s="289">
        <f t="shared" si="17"/>
        <v>1.484036714</v>
      </c>
      <c r="R83" s="289">
        <f t="shared" si="17"/>
        <v>1.520799632</v>
      </c>
      <c r="S83" s="289">
        <f t="shared" si="17"/>
        <v>1.567645699</v>
      </c>
      <c r="T83" s="289">
        <f t="shared" si="17"/>
        <v>1.62734047</v>
      </c>
      <c r="U83" s="289">
        <f t="shared" si="17"/>
        <v>1.703408024</v>
      </c>
      <c r="V83" s="289">
        <f t="shared" si="17"/>
        <v>1.800339004</v>
      </c>
      <c r="W83" s="289">
        <f t="shared" si="17"/>
        <v>1.923855728</v>
      </c>
      <c r="X83" s="289">
        <f t="shared" si="17"/>
        <v>2.08125</v>
      </c>
      <c r="Y83" s="11"/>
    </row>
    <row r="84" ht="12.0" customHeight="1">
      <c r="D84" s="11" t="s">
        <v>878</v>
      </c>
      <c r="E84" s="11">
        <f>(E82+IF($E$71="Resistive",0,IF($E$70=0,$E$72,0)))*VINMAX</f>
        <v>1086</v>
      </c>
      <c r="F84" s="11">
        <f>(F82+IF($E$71="Resistive",0,IF($E$70=0,$E$72,0)))*VINMAX</f>
        <v>853.540768</v>
      </c>
      <c r="G84" s="11">
        <f>(G82+IF($E$71="Resistive",0,IF($E$70=0,$E$72,0)))*VINMAX</f>
        <v>671.116068</v>
      </c>
      <c r="H84" s="11">
        <f>(H82+IF($E$71="Resistive",0,IF($E$70=0,$E$72,0)))*VINMAX</f>
        <v>527.9564658</v>
      </c>
      <c r="I84" s="11">
        <f>(I82+IF($E$71="Resistive",0,IF($E$70=0,$E$72,0)))*VINMAX</f>
        <v>415.6105406</v>
      </c>
      <c r="J84" s="11">
        <f>(J82+IF($E$71="Resistive",0,IF($E$70=0,$E$72,0)))*VINMAX</f>
        <v>327.4459557</v>
      </c>
      <c r="K84" s="11">
        <f>(K82+IF($E$71="Resistive",0,IF($E$70=0,$E$72,0)))*VINMAX</f>
        <v>258.2579187</v>
      </c>
      <c r="L84" s="11">
        <f>(L82+IF($E$71="Resistive",0,IF($E$70=0,$E$72,0)))*VINMAX</f>
        <v>203.9619168</v>
      </c>
      <c r="M84" s="11">
        <f>(M82+IF($E$71="Resistive",0,IF($E$70=0,$E$72,0)))*VINMAX</f>
        <v>161.3525879</v>
      </c>
      <c r="N84" s="11">
        <f>(N82+IF($E$71="Resistive",0,IF($E$70=0,$E$72,0)))*VINMAX</f>
        <v>127.9144923</v>
      </c>
      <c r="O84" s="11">
        <f>(O82+IF($E$71="Resistive",0,IF($E$70=0,$E$72,0)))*VINMAX</f>
        <v>101.6736134</v>
      </c>
      <c r="P84" s="11">
        <f>(P82+IF($E$71="Resistive",0,IF($E$70=0,$E$72,0)))*VINMAX</f>
        <v>81.08082199</v>
      </c>
      <c r="Q84" s="11">
        <f>(Q82+IF($E$71="Resistive",0,IF($E$70=0,$E$72,0)))*VINMAX</f>
        <v>64.92042364</v>
      </c>
      <c r="R84" s="11">
        <f>(R82+IF($E$71="Resistive",0,IF($E$70=0,$E$72,0)))*VINMAX</f>
        <v>52.23838991</v>
      </c>
      <c r="S84" s="11">
        <f>(S82+IF($E$71="Resistive",0,IF($E$70=0,$E$72,0)))*VINMAX</f>
        <v>42.28603749</v>
      </c>
      <c r="T84" s="11">
        <f>(T82+IF($E$71="Resistive",0,IF($E$70=0,$E$72,0)))*VINMAX</f>
        <v>34.47582971</v>
      </c>
      <c r="U84" s="11">
        <f>(U82+IF($E$71="Resistive",0,IF($E$70=0,$E$72,0)))*VINMAX</f>
        <v>28.34669128</v>
      </c>
      <c r="V84" s="11">
        <f>(V82+IF($E$71="Resistive",0,IF($E$70=0,$E$72,0)))*VINMAX</f>
        <v>23.53678878</v>
      </c>
      <c r="W84" s="11">
        <f>(W82+IF($E$71="Resistive",0,IF($E$70=0,$E$72,0)))*VINMAX</f>
        <v>19.76216985</v>
      </c>
      <c r="X84" s="11">
        <f>(X82+IF($E$71="Resistive",0,IF($E$70=0,$E$72,0)))*VINMAX</f>
        <v>16.8</v>
      </c>
      <c r="Y84" s="11"/>
    </row>
    <row r="85" ht="12.0" customHeight="1">
      <c r="D85" s="11" t="s">
        <v>879</v>
      </c>
      <c r="E85" s="11">
        <f>(E82+IF($E$71="Resistive", $E$70/$E$72,$E$72)) *(VINMAX-$E$70)</f>
        <v>1086</v>
      </c>
      <c r="F85" s="11">
        <f>(F82+IF($E$71="Resistive", $E$70/$E$72,$E$72)) *(VINMAX-$E$70)</f>
        <v>853.540768</v>
      </c>
      <c r="G85" s="11">
        <f>(G82+IF($E$71="Resistive", $E$70/$E$72,$E$72)) *(VINMAX-$E$70)</f>
        <v>671.116068</v>
      </c>
      <c r="H85" s="11">
        <f>(H82+IF($E$71="Resistive", $E$70/$E$72,$E$72)) *(VINMAX-$E$70)</f>
        <v>527.9564658</v>
      </c>
      <c r="I85" s="11">
        <f>(I82+IF($E$71="Resistive", $E$70/$E$72,$E$72)) *(VINMAX-$E$70)</f>
        <v>415.6105406</v>
      </c>
      <c r="J85" s="11">
        <f>(J82+IF($E$71="Resistive", $E$70/$E$72,$E$72)) *(VINMAX-$E$70)</f>
        <v>327.4459557</v>
      </c>
      <c r="K85" s="11">
        <f>(K82+IF($E$71="Resistive", $E$70/$E$72,$E$72)) *(VINMAX-$E$70)</f>
        <v>258.2579187</v>
      </c>
      <c r="L85" s="11">
        <f>(L82+IF($E$71="Resistive", $E$70/$E$72,$E$72)) *(VINMAX-$E$70)</f>
        <v>203.9619168</v>
      </c>
      <c r="M85" s="11">
        <f>(M82+IF($E$71="Resistive", $E$70/$E$72,$E$72)) *(VINMAX-$E$70)</f>
        <v>161.3525879</v>
      </c>
      <c r="N85" s="11">
        <f>(N82+IF($E$71="Resistive", $E$70/$E$72,$E$72)) *(VINMAX-$E$70)</f>
        <v>127.9144923</v>
      </c>
      <c r="O85" s="11">
        <f>(O82+IF($E$71="Resistive", $E$70/$E$72,$E$72)) *(VINMAX-$E$70)</f>
        <v>101.6736134</v>
      </c>
      <c r="P85" s="11">
        <f>(P82+IF($E$71="Resistive", $E$70/$E$72,$E$72)) *(VINMAX-$E$70)</f>
        <v>81.08082199</v>
      </c>
      <c r="Q85" s="11">
        <f>(Q82+IF($E$71="Resistive", $E$70/$E$72,$E$72)) *(VINMAX-$E$70)</f>
        <v>64.92042364</v>
      </c>
      <c r="R85" s="11">
        <f>(R82+IF($E$71="Resistive", $E$70/$E$72,$E$72)) *(VINMAX-$E$70)</f>
        <v>52.23838991</v>
      </c>
      <c r="S85" s="11">
        <f>(S82+IF($E$71="Resistive", $E$70/$E$72,$E$72)) *(VINMAX-$E$70)</f>
        <v>42.28603749</v>
      </c>
      <c r="T85" s="11">
        <f>(T82+IF($E$71="Resistive", $E$70/$E$72,$E$72)) *(VINMAX-$E$70)</f>
        <v>34.47582971</v>
      </c>
      <c r="U85" s="11">
        <f>(U82+IF($E$71="Resistive", $E$70/$E$72,$E$72)) *(VINMAX-$E$70)</f>
        <v>28.34669128</v>
      </c>
      <c r="V85" s="11">
        <f>(V82+IF($E$71="Resistive", $E$70/$E$72,$E$72)) *(VINMAX-$E$70)</f>
        <v>23.53678878</v>
      </c>
      <c r="W85" s="11">
        <f>(W82+IF($E$71="Resistive", $E$70/$E$72,$E$72)) *(VINMAX-$E$70)</f>
        <v>19.76216985</v>
      </c>
      <c r="X85" s="11">
        <f>(X82+IF($E$71="Resistive", $E$70/$E$72,$E$72)) *(VINMAX-$E$70)</f>
        <v>16.8</v>
      </c>
      <c r="Y85" s="11"/>
    </row>
    <row r="86" ht="12.0" customHeight="1">
      <c r="D86" s="11" t="s">
        <v>880</v>
      </c>
      <c r="E86" s="11">
        <f>IF($E$71="Resistive", -$E$72*E82/2 + VINMAX/2, -1)</f>
        <v>-1</v>
      </c>
      <c r="F86" s="11">
        <f>IF($E$71="Resistive", -$E$72*F82/2 + VINMAX/2, -1)</f>
        <v>-1</v>
      </c>
      <c r="G86" s="11">
        <f>IF($E$71="Resistive", -$E$72*G82/2 + VINMAX/2, -1)</f>
        <v>-1</v>
      </c>
      <c r="H86" s="11">
        <f>IF($E$71="Resistive", -$E$72*H82/2 + VINMAX/2, -1)</f>
        <v>-1</v>
      </c>
      <c r="I86" s="11">
        <f>IF($E$71="Resistive", -$E$72*I82/2 + VINMAX/2, -1)</f>
        <v>-1</v>
      </c>
      <c r="J86" s="11">
        <f>IF($E$71="Resistive", -$E$72*J82/2 + VINMAX/2, -1)</f>
        <v>-1</v>
      </c>
      <c r="K86" s="11">
        <f>IF($E$71="Resistive", -$E$72*K82/2 + VINMAX/2, -1)</f>
        <v>-1</v>
      </c>
      <c r="L86" s="11">
        <f>IF($E$71="Resistive", -$E$72*L82/2 + VINMAX/2, -1)</f>
        <v>-1</v>
      </c>
      <c r="M86" s="11">
        <f>IF($E$71="Resistive", -$E$72*M82/2 + VINMAX/2, -1)</f>
        <v>-1</v>
      </c>
      <c r="N86" s="11">
        <f>IF($E$71="Resistive", -$E$72*N82/2 + VINMAX/2, -1)</f>
        <v>-1</v>
      </c>
      <c r="O86" s="11">
        <f>IF($E$71="Resistive", -$E$72*O82/2 + VINMAX/2, -1)</f>
        <v>-1</v>
      </c>
      <c r="P86" s="11">
        <f>IF($E$71="Resistive", -$E$72*P82/2 + VINMAX/2, -1)</f>
        <v>-1</v>
      </c>
      <c r="Q86" s="11">
        <f>IF($E$71="Resistive", -$E$72*Q82/2 + VINMAX/2, -1)</f>
        <v>-1</v>
      </c>
      <c r="R86" s="11">
        <f>IF($E$71="Resistive", -$E$72*R82/2 + VINMAX/2, -1)</f>
        <v>-1</v>
      </c>
      <c r="S86" s="11">
        <f>IF($E$71="Resistive", -$E$72*S82/2 + VINMAX/2, -1)</f>
        <v>-1</v>
      </c>
      <c r="T86" s="11">
        <f>IF($E$71="Resistive", -$E$72*T82/2 + VINMAX/2, -1)</f>
        <v>-1</v>
      </c>
      <c r="U86" s="11">
        <f>IF($E$71="Resistive", -$E$72*U82/2 + VINMAX/2, -1)</f>
        <v>-1</v>
      </c>
      <c r="V86" s="11">
        <f>IF($E$71="Resistive", -$E$72*V82/2 + VINMAX/2, -1)</f>
        <v>-1</v>
      </c>
      <c r="W86" s="11">
        <f>IF($E$71="Resistive", -$E$72*W82/2 + VINMAX/2, -1)</f>
        <v>-1</v>
      </c>
      <c r="X86" s="11">
        <f>IF($E$71="Resistive", -$E$72*X82/2 + VINMAX/2, -1)</f>
        <v>-1</v>
      </c>
      <c r="Y86" s="11"/>
    </row>
    <row r="87" ht="12.0" customHeight="1">
      <c r="D87" s="11" t="s">
        <v>881</v>
      </c>
      <c r="E87" s="11">
        <f>IF(AND(E86&lt;VINMAX, E86&gt;$E$70), (VINMAX-E86)*(E82+E86/$E$72), 0)</f>
        <v>0</v>
      </c>
      <c r="F87" s="11">
        <f>IF(AND(F86&lt;VINMAX, F86&gt;$E$70), (VINMAX-F86)*(F82+F86/$E$72), 0)</f>
        <v>0</v>
      </c>
      <c r="G87" s="11">
        <f>IF(AND(G86&lt;VINMAX, G86&gt;$E$70), (VINMAX-G86)*(G82+G86/$E$72), 0)</f>
        <v>0</v>
      </c>
      <c r="H87" s="11">
        <f>IF(AND(H86&lt;VINMAX, H86&gt;$E$70), (VINMAX-H86)*(H82+H86/$E$72), 0)</f>
        <v>0</v>
      </c>
      <c r="I87" s="11">
        <f>IF(AND(I86&lt;VINMAX, I86&gt;$E$70), (VINMAX-I86)*(I82+I86/$E$72), 0)</f>
        <v>0</v>
      </c>
      <c r="J87" s="11">
        <f>IF(AND(J86&lt;VINMAX, J86&gt;$E$70), (VINMAX-J86)*(J82+J86/$E$72), 0)</f>
        <v>0</v>
      </c>
      <c r="K87" s="11">
        <f>IF(AND(K86&lt;VINMAX, K86&gt;$E$70), (VINMAX-K86)*(K82+K86/$E$72), 0)</f>
        <v>0</v>
      </c>
      <c r="L87" s="11">
        <f>IF(AND(L86&lt;VINMAX, L86&gt;$E$70), (VINMAX-L86)*(L82+L86/$E$72), 0)</f>
        <v>0</v>
      </c>
      <c r="M87" s="11">
        <f>IF(AND(M86&lt;VINMAX, M86&gt;$E$70), (VINMAX-M86)*(M82+M86/$E$72), 0)</f>
        <v>0</v>
      </c>
      <c r="N87" s="11">
        <f>IF(AND(N86&lt;VINMAX, N86&gt;$E$70), (VINMAX-N86)*(N82+N86/$E$72), 0)</f>
        <v>0</v>
      </c>
      <c r="O87" s="11">
        <f>IF(AND(O86&lt;VINMAX, O86&gt;$E$70), (VINMAX-O86)*(O82+O86/$E$72), 0)</f>
        <v>0</v>
      </c>
      <c r="P87" s="11">
        <f>IF(AND(P86&lt;VINMAX, P86&gt;$E$70), (VINMAX-P86)*(P82+P86/$E$72), 0)</f>
        <v>0</v>
      </c>
      <c r="Q87" s="11">
        <f>IF(AND(Q86&lt;VINMAX, Q86&gt;$E$70), (VINMAX-Q86)*(Q82+Q86/$E$72), 0)</f>
        <v>0</v>
      </c>
      <c r="R87" s="11">
        <f>IF(AND(R86&lt;VINMAX, R86&gt;$E$70), (VINMAX-R86)*(R82+R86/$E$72), 0)</f>
        <v>0</v>
      </c>
      <c r="S87" s="11">
        <f>IF(AND(S86&lt;VINMAX, S86&gt;$E$70), (VINMAX-S86)*(S82+S86/$E$72), 0)</f>
        <v>0</v>
      </c>
      <c r="T87" s="11">
        <f>IF(AND(T86&lt;VINMAX, T86&gt;$E$70), (VINMAX-T86)*(T82+T86/$E$72), 0)</f>
        <v>0</v>
      </c>
      <c r="U87" s="11">
        <f>IF(AND(U86&lt;VINMAX, U86&gt;$E$70), (VINMAX-U86)*(U82+U86/$E$72), 0)</f>
        <v>0</v>
      </c>
      <c r="V87" s="11">
        <f>IF(AND(V86&lt;VINMAX, V86&gt;$E$70), (VINMAX-V86)*(V82+V86/$E$72), 0)</f>
        <v>0</v>
      </c>
      <c r="W87" s="11">
        <f>IF(AND(W86&lt;VINMAX, W86&gt;$E$70), (VINMAX-W86)*(W82+W86/$E$72), 0)</f>
        <v>0</v>
      </c>
      <c r="X87" s="11">
        <f>IF(AND(X86&lt;VINMAX, X86&gt;$E$70), (VINMAX-X86)*(X82+X86/$E$72), 0)</f>
        <v>0</v>
      </c>
      <c r="Y87" s="11"/>
    </row>
    <row r="88" ht="12.0" customHeight="1">
      <c r="D88" s="11"/>
      <c r="E88" s="11"/>
      <c r="F88" s="11"/>
      <c r="G88" s="11"/>
      <c r="H88" s="11"/>
      <c r="I88" s="11"/>
      <c r="J88" s="11"/>
      <c r="K88" s="11"/>
      <c r="L88" s="11"/>
      <c r="M88" s="11"/>
      <c r="N88" s="11"/>
      <c r="O88" s="11"/>
      <c r="P88" s="11"/>
      <c r="Q88" s="11"/>
      <c r="R88" s="11"/>
      <c r="S88" s="11"/>
      <c r="T88" s="11"/>
      <c r="U88" s="11"/>
      <c r="V88" s="11"/>
      <c r="W88" s="11"/>
      <c r="X88" s="11"/>
      <c r="Y88" s="11"/>
    </row>
    <row r="89" ht="12.0" customHeight="1">
      <c r="D89" s="11" t="s">
        <v>882</v>
      </c>
      <c r="E89" s="11">
        <f t="shared" ref="E89:X89" si="18">MAX(E84,E85,E87)</f>
        <v>1086</v>
      </c>
      <c r="F89" s="11">
        <f t="shared" si="18"/>
        <v>853.540768</v>
      </c>
      <c r="G89" s="11">
        <f t="shared" si="18"/>
        <v>671.116068</v>
      </c>
      <c r="H89" s="11">
        <f t="shared" si="18"/>
        <v>527.9564658</v>
      </c>
      <c r="I89" s="11">
        <f t="shared" si="18"/>
        <v>415.6105406</v>
      </c>
      <c r="J89" s="11">
        <f t="shared" si="18"/>
        <v>327.4459557</v>
      </c>
      <c r="K89" s="11">
        <f t="shared" si="18"/>
        <v>258.2579187</v>
      </c>
      <c r="L89" s="11">
        <f t="shared" si="18"/>
        <v>203.9619168</v>
      </c>
      <c r="M89" s="11">
        <f t="shared" si="18"/>
        <v>161.3525879</v>
      </c>
      <c r="N89" s="11">
        <f t="shared" si="18"/>
        <v>127.9144923</v>
      </c>
      <c r="O89" s="11">
        <f t="shared" si="18"/>
        <v>101.6736134</v>
      </c>
      <c r="P89" s="11">
        <f t="shared" si="18"/>
        <v>81.08082199</v>
      </c>
      <c r="Q89" s="11">
        <f t="shared" si="18"/>
        <v>64.92042364</v>
      </c>
      <c r="R89" s="11">
        <f t="shared" si="18"/>
        <v>52.23838991</v>
      </c>
      <c r="S89" s="11">
        <f t="shared" si="18"/>
        <v>42.28603749</v>
      </c>
      <c r="T89" s="11">
        <f t="shared" si="18"/>
        <v>34.47582971</v>
      </c>
      <c r="U89" s="11">
        <f t="shared" si="18"/>
        <v>28.34669128</v>
      </c>
      <c r="V89" s="11">
        <f t="shared" si="18"/>
        <v>23.53678878</v>
      </c>
      <c r="W89" s="11">
        <f t="shared" si="18"/>
        <v>19.76216985</v>
      </c>
      <c r="X89" s="11">
        <f t="shared" si="18"/>
        <v>16.8</v>
      </c>
      <c r="Y89" s="11"/>
    </row>
    <row r="90" ht="12.0" customHeight="1">
      <c r="D90" s="11" t="s">
        <v>883</v>
      </c>
      <c r="E90" s="289">
        <f t="shared" ref="E90:X90" si="19">E83/E89*1000</f>
        <v>1.249827348</v>
      </c>
      <c r="F90" s="289">
        <f t="shared" si="19"/>
        <v>1.592563808</v>
      </c>
      <c r="G90" s="289">
        <f t="shared" si="19"/>
        <v>2.029267265</v>
      </c>
      <c r="H90" s="289">
        <f t="shared" si="19"/>
        <v>2.585687762</v>
      </c>
      <c r="I90" s="289">
        <f t="shared" si="19"/>
        <v>3.294624115</v>
      </c>
      <c r="J90" s="289">
        <f t="shared" si="19"/>
        <v>4.19784898</v>
      </c>
      <c r="K90" s="289">
        <f t="shared" si="19"/>
        <v>5.348557172</v>
      </c>
      <c r="L90" s="289">
        <f t="shared" si="19"/>
        <v>6.814478207</v>
      </c>
      <c r="M90" s="289">
        <f t="shared" si="19"/>
        <v>8.681831455</v>
      </c>
      <c r="N90" s="289">
        <f t="shared" si="19"/>
        <v>11.06034964</v>
      </c>
      <c r="O90" s="289">
        <f t="shared" si="19"/>
        <v>14.08965634</v>
      </c>
      <c r="P90" s="289">
        <f t="shared" si="19"/>
        <v>17.94735934</v>
      </c>
      <c r="Q90" s="289">
        <f t="shared" si="19"/>
        <v>22.85931963</v>
      </c>
      <c r="R90" s="289">
        <f t="shared" si="19"/>
        <v>29.11268198</v>
      </c>
      <c r="S90" s="289">
        <f t="shared" si="19"/>
        <v>37.07241899</v>
      </c>
      <c r="T90" s="289">
        <f t="shared" si="19"/>
        <v>47.20235841</v>
      </c>
      <c r="U90" s="289">
        <f t="shared" si="19"/>
        <v>60.09195243</v>
      </c>
      <c r="V90" s="289">
        <f t="shared" si="19"/>
        <v>76.49042615</v>
      </c>
      <c r="W90" s="289">
        <f t="shared" si="19"/>
        <v>97.3504298</v>
      </c>
      <c r="X90" s="289">
        <f t="shared" si="19"/>
        <v>123.8839286</v>
      </c>
      <c r="Y90" s="11"/>
    </row>
    <row r="91" ht="12.0" customHeight="1">
      <c r="D91" s="11"/>
      <c r="E91" s="11"/>
      <c r="F91" s="11"/>
      <c r="G91" s="11"/>
      <c r="H91" s="11"/>
      <c r="I91" s="11"/>
      <c r="J91" s="11"/>
      <c r="K91" s="11"/>
      <c r="L91" s="11"/>
      <c r="M91" s="11"/>
      <c r="N91" s="11"/>
      <c r="O91" s="11"/>
      <c r="P91" s="11"/>
      <c r="Q91" s="11"/>
      <c r="R91" s="11"/>
      <c r="S91" s="11"/>
      <c r="T91" s="11"/>
      <c r="U91" s="11"/>
      <c r="V91" s="11"/>
      <c r="W91" s="11"/>
      <c r="X91" s="11"/>
      <c r="Y91" s="11"/>
    </row>
    <row r="92" ht="12.0" customHeight="1">
      <c r="D92" s="11" t="s">
        <v>634</v>
      </c>
      <c r="E92" s="11">
        <f t="shared" ref="E92:X92" si="20">IF(E90&lt;$J$68,$J$69,IF(E90&lt;$K$68,$K$69,IF(E90&lt;$L$68,$L$69,$M$69)))</f>
        <v>13.45503614</v>
      </c>
      <c r="F92" s="11">
        <f t="shared" si="20"/>
        <v>13.45503614</v>
      </c>
      <c r="G92" s="11">
        <f t="shared" si="20"/>
        <v>13.45503614</v>
      </c>
      <c r="H92" s="11">
        <f t="shared" si="20"/>
        <v>13.45503614</v>
      </c>
      <c r="I92" s="11">
        <f t="shared" si="20"/>
        <v>13.45503614</v>
      </c>
      <c r="J92" s="11">
        <f t="shared" si="20"/>
        <v>13.45503614</v>
      </c>
      <c r="K92" s="11">
        <f t="shared" si="20"/>
        <v>13.45503614</v>
      </c>
      <c r="L92" s="11">
        <f t="shared" si="20"/>
        <v>13.45503614</v>
      </c>
      <c r="M92" s="11">
        <f t="shared" si="20"/>
        <v>13.45503614</v>
      </c>
      <c r="N92" s="11">
        <f t="shared" si="20"/>
        <v>9.86670772</v>
      </c>
      <c r="O92" s="11">
        <f t="shared" si="20"/>
        <v>9.86670772</v>
      </c>
      <c r="P92" s="11">
        <f t="shared" si="20"/>
        <v>9.86670772</v>
      </c>
      <c r="Q92" s="11">
        <f t="shared" si="20"/>
        <v>9.86670772</v>
      </c>
      <c r="R92" s="11">
        <f t="shared" si="20"/>
        <v>9.86670772</v>
      </c>
      <c r="S92" s="11">
        <f t="shared" si="20"/>
        <v>9.86670772</v>
      </c>
      <c r="T92" s="11">
        <f t="shared" si="20"/>
        <v>9.86670772</v>
      </c>
      <c r="U92" s="11">
        <f t="shared" si="20"/>
        <v>9.86670772</v>
      </c>
      <c r="V92" s="11">
        <f t="shared" si="20"/>
        <v>9.86670772</v>
      </c>
      <c r="W92" s="11">
        <f t="shared" si="20"/>
        <v>9.86670772</v>
      </c>
      <c r="X92" s="11">
        <f t="shared" si="20"/>
        <v>9.86670772</v>
      </c>
      <c r="Y92" s="11"/>
    </row>
    <row r="93" ht="12.0" customHeight="1">
      <c r="D93" s="11" t="s">
        <v>635</v>
      </c>
      <c r="E93" s="143">
        <f t="shared" ref="E93:X93" si="21">IF(E90&lt;$J$68,$J$70,IF(E90&lt;$K$68,$K$70,IF(E90&lt;$L$68,$L$70,$M$70)))</f>
        <v>-0.4437177052</v>
      </c>
      <c r="F93" s="143">
        <f t="shared" si="21"/>
        <v>-0.4437177052</v>
      </c>
      <c r="G93" s="143">
        <f t="shared" si="21"/>
        <v>-0.4437177052</v>
      </c>
      <c r="H93" s="143">
        <f t="shared" si="21"/>
        <v>-0.4437177052</v>
      </c>
      <c r="I93" s="143">
        <f t="shared" si="21"/>
        <v>-0.4437177052</v>
      </c>
      <c r="J93" s="143">
        <f t="shared" si="21"/>
        <v>-0.4437177052</v>
      </c>
      <c r="K93" s="143">
        <f t="shared" si="21"/>
        <v>-0.4437177052</v>
      </c>
      <c r="L93" s="143">
        <f t="shared" si="21"/>
        <v>-0.4437177052</v>
      </c>
      <c r="M93" s="143">
        <f t="shared" si="21"/>
        <v>-0.4437177052</v>
      </c>
      <c r="N93" s="143">
        <f t="shared" si="21"/>
        <v>-0.3090050999</v>
      </c>
      <c r="O93" s="143">
        <f t="shared" si="21"/>
        <v>-0.3090050999</v>
      </c>
      <c r="P93" s="143">
        <f t="shared" si="21"/>
        <v>-0.3090050999</v>
      </c>
      <c r="Q93" s="143">
        <f t="shared" si="21"/>
        <v>-0.3090050999</v>
      </c>
      <c r="R93" s="143">
        <f t="shared" si="21"/>
        <v>-0.3090050999</v>
      </c>
      <c r="S93" s="143">
        <f t="shared" si="21"/>
        <v>-0.3090050999</v>
      </c>
      <c r="T93" s="143">
        <f t="shared" si="21"/>
        <v>-0.3090050999</v>
      </c>
      <c r="U93" s="143">
        <f t="shared" si="21"/>
        <v>-0.3090050999</v>
      </c>
      <c r="V93" s="143">
        <f t="shared" si="21"/>
        <v>-0.3090050999</v>
      </c>
      <c r="W93" s="143">
        <f t="shared" si="21"/>
        <v>-0.3090050999</v>
      </c>
      <c r="X93" s="143">
        <f t="shared" si="21"/>
        <v>-0.3090050999</v>
      </c>
      <c r="Y93" s="11"/>
    </row>
    <row r="94" ht="12.0" customHeight="1">
      <c r="D94" s="11"/>
      <c r="E94" s="11"/>
      <c r="F94" s="11"/>
      <c r="G94" s="11"/>
      <c r="H94" s="11"/>
      <c r="I94" s="11"/>
      <c r="J94" s="11"/>
      <c r="K94" s="11"/>
      <c r="L94" s="11"/>
      <c r="M94" s="11"/>
      <c r="N94" s="11"/>
      <c r="O94" s="11"/>
      <c r="P94" s="11"/>
      <c r="Q94" s="11"/>
      <c r="R94" s="11"/>
      <c r="S94" s="11"/>
      <c r="T94" s="11"/>
      <c r="U94" s="11"/>
      <c r="V94" s="11"/>
      <c r="W94" s="11"/>
      <c r="X94" s="11"/>
      <c r="Y94" s="11"/>
    </row>
    <row r="95" ht="12.0" customHeight="1">
      <c r="D95" s="11" t="s">
        <v>884</v>
      </c>
      <c r="E95" s="11">
        <f>E92*E90^E93*VINMAX</f>
        <v>365.6217754</v>
      </c>
      <c r="F95" s="11">
        <f>F92*F90^F93*VINMAX</f>
        <v>328.3463376</v>
      </c>
      <c r="G95" s="11">
        <f>G92*G90^G93*VINMAX</f>
        <v>294.8724898</v>
      </c>
      <c r="H95" s="11">
        <f>H92*H90^H93*VINMAX</f>
        <v>264.8127016</v>
      </c>
      <c r="I95" s="11">
        <f>I92*I90^I93*VINMAX</f>
        <v>237.8189677</v>
      </c>
      <c r="J95" s="11">
        <f>J92*J90^J93*VINMAX</f>
        <v>213.5787777</v>
      </c>
      <c r="K95" s="11">
        <f>K92*K90^K93*VINMAX</f>
        <v>191.8114955</v>
      </c>
      <c r="L95" s="11">
        <f>L92*L90^L93*VINMAX</f>
        <v>172.2651075</v>
      </c>
      <c r="M95" s="11">
        <f>M92*M90^M93*VINMAX</f>
        <v>154.7132997</v>
      </c>
      <c r="N95" s="11">
        <f>N92*N90^N93*VINMAX</f>
        <v>140.8521947</v>
      </c>
      <c r="O95" s="11">
        <f>O92*O90^O93*VINMAX</f>
        <v>130.700556</v>
      </c>
      <c r="P95" s="11">
        <f>P92*P90^P93*VINMAX</f>
        <v>121.2832846</v>
      </c>
      <c r="Q95" s="11">
        <f>Q92*Q90^Q93*VINMAX</f>
        <v>112.5475453</v>
      </c>
      <c r="R95" s="11">
        <f>R92*R90^R93*VINMAX</f>
        <v>104.4442767</v>
      </c>
      <c r="S95" s="11">
        <f>S92*S90^S93*VINMAX</f>
        <v>96.92789479</v>
      </c>
      <c r="T95" s="11">
        <f>T92*T90^T93*VINMAX</f>
        <v>89.95601294</v>
      </c>
      <c r="U95" s="11">
        <f>U92*U90^U93*VINMAX</f>
        <v>83.4891818</v>
      </c>
      <c r="V95" s="11">
        <f>V92*V90^V93*VINMAX</f>
        <v>77.49065359</v>
      </c>
      <c r="W95" s="11">
        <f>W92*W90^W93*VINMAX</f>
        <v>71.92617657</v>
      </c>
      <c r="X95" s="11">
        <f>X92*X90^X93*VINMAX</f>
        <v>66.76382627</v>
      </c>
      <c r="Y95" s="11"/>
    </row>
    <row r="96" ht="12.0" customHeight="1">
      <c r="D96" s="11" t="s">
        <v>885</v>
      </c>
      <c r="E96" s="11">
        <f t="shared" ref="E96:X96" si="22">E95*($J$63-$E$64)/($J$63 - 25)</f>
        <v>219.3730653</v>
      </c>
      <c r="F96" s="11">
        <f t="shared" si="22"/>
        <v>197.0078025</v>
      </c>
      <c r="G96" s="11">
        <f t="shared" si="22"/>
        <v>176.9234939</v>
      </c>
      <c r="H96" s="11">
        <f t="shared" si="22"/>
        <v>158.887621</v>
      </c>
      <c r="I96" s="11">
        <f t="shared" si="22"/>
        <v>142.6913806</v>
      </c>
      <c r="J96" s="11">
        <f t="shared" si="22"/>
        <v>128.1472666</v>
      </c>
      <c r="K96" s="11">
        <f t="shared" si="22"/>
        <v>115.0868973</v>
      </c>
      <c r="L96" s="11">
        <f t="shared" si="22"/>
        <v>103.3590645</v>
      </c>
      <c r="M96" s="11">
        <f t="shared" si="22"/>
        <v>92.82797984</v>
      </c>
      <c r="N96" s="11">
        <f t="shared" si="22"/>
        <v>84.51131682</v>
      </c>
      <c r="O96" s="11">
        <f t="shared" si="22"/>
        <v>78.4203336</v>
      </c>
      <c r="P96" s="11">
        <f t="shared" si="22"/>
        <v>72.76997079</v>
      </c>
      <c r="Q96" s="11">
        <f t="shared" si="22"/>
        <v>67.52852715</v>
      </c>
      <c r="R96" s="11">
        <f t="shared" si="22"/>
        <v>62.666566</v>
      </c>
      <c r="S96" s="11">
        <f t="shared" si="22"/>
        <v>58.15673687</v>
      </c>
      <c r="T96" s="11">
        <f t="shared" si="22"/>
        <v>53.97360776</v>
      </c>
      <c r="U96" s="11">
        <f t="shared" si="22"/>
        <v>50.09350908</v>
      </c>
      <c r="V96" s="11">
        <f t="shared" si="22"/>
        <v>46.49439215</v>
      </c>
      <c r="W96" s="11">
        <f t="shared" si="22"/>
        <v>43.15570594</v>
      </c>
      <c r="X96" s="11">
        <f t="shared" si="22"/>
        <v>40.05829576</v>
      </c>
      <c r="Y96" s="11"/>
    </row>
    <row r="97" ht="12.0" customHeight="1">
      <c r="D97" s="11" t="s">
        <v>144</v>
      </c>
      <c r="E97" s="11">
        <f t="shared" ref="E97:X97" si="23">E96/E89</f>
        <v>0.2020009809</v>
      </c>
      <c r="F97" s="11">
        <f t="shared" si="23"/>
        <v>0.230812411</v>
      </c>
      <c r="G97" s="11">
        <f t="shared" si="23"/>
        <v>0.2636257755</v>
      </c>
      <c r="H97" s="11">
        <f t="shared" si="23"/>
        <v>0.3009483381</v>
      </c>
      <c r="I97" s="11">
        <f t="shared" si="23"/>
        <v>0.3433295518</v>
      </c>
      <c r="J97" s="11">
        <f t="shared" si="23"/>
        <v>0.3913539452</v>
      </c>
      <c r="K97" s="11">
        <f t="shared" si="23"/>
        <v>0.4456277582</v>
      </c>
      <c r="L97" s="11">
        <f t="shared" si="23"/>
        <v>0.5067566835</v>
      </c>
      <c r="M97" s="11">
        <f t="shared" si="23"/>
        <v>0.5753113788</v>
      </c>
      <c r="N97" s="11">
        <f t="shared" si="23"/>
        <v>0.66068602</v>
      </c>
      <c r="O97" s="11">
        <f t="shared" si="23"/>
        <v>0.7712948424</v>
      </c>
      <c r="P97" s="11">
        <f t="shared" si="23"/>
        <v>0.8974991743</v>
      </c>
      <c r="Q97" s="11">
        <f t="shared" si="23"/>
        <v>1.040173852</v>
      </c>
      <c r="R97" s="11">
        <f t="shared" si="23"/>
        <v>1.199626675</v>
      </c>
      <c r="S97" s="11">
        <f t="shared" si="23"/>
        <v>1.375317725</v>
      </c>
      <c r="T97" s="11">
        <f t="shared" si="23"/>
        <v>1.565549204</v>
      </c>
      <c r="U97" s="11">
        <f t="shared" si="23"/>
        <v>1.767173057</v>
      </c>
      <c r="V97" s="11">
        <f t="shared" si="23"/>
        <v>1.975392335</v>
      </c>
      <c r="W97" s="11">
        <f t="shared" si="23"/>
        <v>2.183753418</v>
      </c>
      <c r="X97" s="11">
        <f t="shared" si="23"/>
        <v>2.384422367</v>
      </c>
      <c r="Y97" s="11"/>
    </row>
    <row r="98" ht="12.0" customHeight="1">
      <c r="D98" s="11"/>
      <c r="E98" s="11"/>
      <c r="F98" s="11"/>
      <c r="G98" s="11"/>
      <c r="H98" s="11"/>
      <c r="I98" s="11"/>
      <c r="J98" s="11"/>
      <c r="K98" s="11"/>
      <c r="L98" s="11"/>
      <c r="M98" s="11"/>
      <c r="N98" s="11"/>
      <c r="O98" s="11"/>
      <c r="P98" s="11"/>
      <c r="Q98" s="11"/>
      <c r="R98" s="11"/>
      <c r="S98" s="11"/>
      <c r="T98" s="11"/>
      <c r="U98" s="11"/>
      <c r="V98" s="11"/>
      <c r="W98" s="11"/>
      <c r="X98" s="11"/>
      <c r="Y98" s="11"/>
    </row>
    <row r="99" ht="12.0" customHeight="1">
      <c r="D99" s="11" t="s">
        <v>886</v>
      </c>
      <c r="E99" s="11" t="str">
        <f t="shared" ref="E99:X99" si="24">IF(E97&gt;$E$20, "Y", "N")</f>
        <v>N</v>
      </c>
      <c r="F99" s="11" t="str">
        <f t="shared" si="24"/>
        <v>N</v>
      </c>
      <c r="G99" s="11" t="str">
        <f t="shared" si="24"/>
        <v>N</v>
      </c>
      <c r="H99" s="11" t="str">
        <f t="shared" si="24"/>
        <v>N</v>
      </c>
      <c r="I99" s="11" t="str">
        <f t="shared" si="24"/>
        <v>N</v>
      </c>
      <c r="J99" s="11" t="str">
        <f t="shared" si="24"/>
        <v>N</v>
      </c>
      <c r="K99" s="11" t="str">
        <f t="shared" si="24"/>
        <v>N</v>
      </c>
      <c r="L99" s="11" t="str">
        <f t="shared" si="24"/>
        <v>N</v>
      </c>
      <c r="M99" s="11" t="str">
        <f t="shared" si="24"/>
        <v>N</v>
      </c>
      <c r="N99" s="11" t="str">
        <f t="shared" si="24"/>
        <v>N</v>
      </c>
      <c r="O99" s="11" t="str">
        <f t="shared" si="24"/>
        <v>N</v>
      </c>
      <c r="P99" s="11" t="str">
        <f t="shared" si="24"/>
        <v>N</v>
      </c>
      <c r="Q99" s="11" t="str">
        <f t="shared" si="24"/>
        <v>N</v>
      </c>
      <c r="R99" s="11" t="str">
        <f t="shared" si="24"/>
        <v>N</v>
      </c>
      <c r="S99" s="11" t="str">
        <f t="shared" si="24"/>
        <v>N</v>
      </c>
      <c r="T99" s="11" t="str">
        <f t="shared" si="24"/>
        <v>Y</v>
      </c>
      <c r="U99" s="11" t="str">
        <f t="shared" si="24"/>
        <v>Y</v>
      </c>
      <c r="V99" s="11" t="str">
        <f t="shared" si="24"/>
        <v>Y</v>
      </c>
      <c r="W99" s="11" t="str">
        <f t="shared" si="24"/>
        <v>Y</v>
      </c>
      <c r="X99" s="11" t="str">
        <f t="shared" si="24"/>
        <v>Y</v>
      </c>
      <c r="Y99" s="11" t="s">
        <v>887</v>
      </c>
    </row>
    <row r="100" ht="12.0" customHeight="1">
      <c r="D100" s="11" t="s">
        <v>888</v>
      </c>
      <c r="E100" s="11">
        <f>IF(E99="Y", 1, 0)</f>
        <v>0</v>
      </c>
      <c r="F100" s="11">
        <f t="shared" ref="F100:X100" si="25">IF(AND(F99="Y", E99="N"),  1, 0)</f>
        <v>0</v>
      </c>
      <c r="G100" s="11">
        <f t="shared" si="25"/>
        <v>0</v>
      </c>
      <c r="H100" s="11">
        <f t="shared" si="25"/>
        <v>0</v>
      </c>
      <c r="I100" s="11">
        <f t="shared" si="25"/>
        <v>0</v>
      </c>
      <c r="J100" s="11">
        <f t="shared" si="25"/>
        <v>0</v>
      </c>
      <c r="K100" s="11">
        <f t="shared" si="25"/>
        <v>0</v>
      </c>
      <c r="L100" s="11">
        <f t="shared" si="25"/>
        <v>0</v>
      </c>
      <c r="M100" s="11">
        <f t="shared" si="25"/>
        <v>0</v>
      </c>
      <c r="N100" s="11">
        <f t="shared" si="25"/>
        <v>0</v>
      </c>
      <c r="O100" s="11">
        <f t="shared" si="25"/>
        <v>0</v>
      </c>
      <c r="P100" s="11">
        <f t="shared" si="25"/>
        <v>0</v>
      </c>
      <c r="Q100" s="11">
        <f t="shared" si="25"/>
        <v>0</v>
      </c>
      <c r="R100" s="11">
        <f t="shared" si="25"/>
        <v>0</v>
      </c>
      <c r="S100" s="11">
        <f t="shared" si="25"/>
        <v>0</v>
      </c>
      <c r="T100" s="11">
        <f t="shared" si="25"/>
        <v>1</v>
      </c>
      <c r="U100" s="11">
        <f t="shared" si="25"/>
        <v>0</v>
      </c>
      <c r="V100" s="11">
        <f t="shared" si="25"/>
        <v>0</v>
      </c>
      <c r="W100" s="11">
        <f t="shared" si="25"/>
        <v>0</v>
      </c>
      <c r="X100" s="11">
        <f t="shared" si="25"/>
        <v>0</v>
      </c>
      <c r="Y100" s="11"/>
    </row>
    <row r="101" ht="12.0" customHeight="1">
      <c r="D101" s="11" t="s">
        <v>889</v>
      </c>
      <c r="E101" s="11">
        <v>0.0</v>
      </c>
      <c r="F101" s="11">
        <f t="shared" ref="F101:X101" si="26">IF(AND(F99="Y", G99="N"),  1, 0)</f>
        <v>0</v>
      </c>
      <c r="G101" s="11">
        <f t="shared" si="26"/>
        <v>0</v>
      </c>
      <c r="H101" s="11">
        <f t="shared" si="26"/>
        <v>0</v>
      </c>
      <c r="I101" s="11">
        <f t="shared" si="26"/>
        <v>0</v>
      </c>
      <c r="J101" s="11">
        <f t="shared" si="26"/>
        <v>0</v>
      </c>
      <c r="K101" s="11">
        <f t="shared" si="26"/>
        <v>0</v>
      </c>
      <c r="L101" s="11">
        <f t="shared" si="26"/>
        <v>0</v>
      </c>
      <c r="M101" s="11">
        <f t="shared" si="26"/>
        <v>0</v>
      </c>
      <c r="N101" s="11">
        <f t="shared" si="26"/>
        <v>0</v>
      </c>
      <c r="O101" s="11">
        <f t="shared" si="26"/>
        <v>0</v>
      </c>
      <c r="P101" s="11">
        <f t="shared" si="26"/>
        <v>0</v>
      </c>
      <c r="Q101" s="11">
        <f t="shared" si="26"/>
        <v>0</v>
      </c>
      <c r="R101" s="11">
        <f t="shared" si="26"/>
        <v>0</v>
      </c>
      <c r="S101" s="11">
        <f t="shared" si="26"/>
        <v>0</v>
      </c>
      <c r="T101" s="11">
        <f t="shared" si="26"/>
        <v>0</v>
      </c>
      <c r="U101" s="11">
        <f t="shared" si="26"/>
        <v>0</v>
      </c>
      <c r="V101" s="11">
        <f t="shared" si="26"/>
        <v>0</v>
      </c>
      <c r="W101" s="11">
        <f t="shared" si="26"/>
        <v>0</v>
      </c>
      <c r="X101" s="11">
        <f t="shared" si="26"/>
        <v>1</v>
      </c>
      <c r="Y101" s="11"/>
    </row>
    <row r="102" ht="12.0" customHeight="1">
      <c r="D102" s="11"/>
      <c r="E102" s="11"/>
      <c r="F102" s="11"/>
      <c r="G102" s="11"/>
      <c r="H102" s="11"/>
      <c r="I102" s="11"/>
      <c r="J102" s="11"/>
      <c r="K102" s="11"/>
      <c r="L102" s="11"/>
      <c r="M102" s="11"/>
      <c r="N102" s="11"/>
      <c r="O102" s="11"/>
      <c r="P102" s="11"/>
      <c r="Q102" s="11"/>
      <c r="R102" s="11"/>
      <c r="S102" s="11"/>
      <c r="T102" s="11"/>
      <c r="U102" s="11"/>
      <c r="V102" s="11"/>
      <c r="W102" s="11"/>
      <c r="X102" s="11"/>
      <c r="Y102" s="11"/>
    </row>
    <row r="103" ht="12.0" customHeight="1">
      <c r="D103" s="11" t="s">
        <v>890</v>
      </c>
      <c r="E103" s="11">
        <f t="shared" ref="E103:X103" si="27">E100*E80</f>
        <v>0</v>
      </c>
      <c r="F103" s="11">
        <f t="shared" si="27"/>
        <v>0</v>
      </c>
      <c r="G103" s="11">
        <f t="shared" si="27"/>
        <v>0</v>
      </c>
      <c r="H103" s="11">
        <f t="shared" si="27"/>
        <v>0</v>
      </c>
      <c r="I103" s="11">
        <f t="shared" si="27"/>
        <v>0</v>
      </c>
      <c r="J103" s="11">
        <f t="shared" si="27"/>
        <v>0</v>
      </c>
      <c r="K103" s="11">
        <f t="shared" si="27"/>
        <v>0</v>
      </c>
      <c r="L103" s="11">
        <f t="shared" si="27"/>
        <v>0</v>
      </c>
      <c r="M103" s="11">
        <f t="shared" si="27"/>
        <v>0</v>
      </c>
      <c r="N103" s="11">
        <f t="shared" si="27"/>
        <v>0</v>
      </c>
      <c r="O103" s="11">
        <f t="shared" si="27"/>
        <v>0</v>
      </c>
      <c r="P103" s="11">
        <f t="shared" si="27"/>
        <v>0</v>
      </c>
      <c r="Q103" s="11">
        <f t="shared" si="27"/>
        <v>0</v>
      </c>
      <c r="R103" s="11">
        <f t="shared" si="27"/>
        <v>0</v>
      </c>
      <c r="S103" s="11">
        <f t="shared" si="27"/>
        <v>0</v>
      </c>
      <c r="T103" s="11">
        <f t="shared" si="27"/>
        <v>0.3163981078</v>
      </c>
      <c r="U103" s="11">
        <f t="shared" si="27"/>
        <v>0</v>
      </c>
      <c r="V103" s="11">
        <f t="shared" si="27"/>
        <v>0</v>
      </c>
      <c r="W103" s="11">
        <f t="shared" si="27"/>
        <v>0</v>
      </c>
      <c r="X103" s="11">
        <f t="shared" si="27"/>
        <v>0</v>
      </c>
      <c r="Y103" s="11"/>
    </row>
    <row r="104" ht="12.0" customHeight="1">
      <c r="D104" s="11" t="s">
        <v>891</v>
      </c>
      <c r="E104" s="11">
        <f t="shared" ref="E104:X104" si="28">E80*E101</f>
        <v>0</v>
      </c>
      <c r="F104" s="11">
        <f t="shared" si="28"/>
        <v>0</v>
      </c>
      <c r="G104" s="11">
        <f t="shared" si="28"/>
        <v>0</v>
      </c>
      <c r="H104" s="11">
        <f t="shared" si="28"/>
        <v>0</v>
      </c>
      <c r="I104" s="11">
        <f t="shared" si="28"/>
        <v>0</v>
      </c>
      <c r="J104" s="11">
        <f t="shared" si="28"/>
        <v>0</v>
      </c>
      <c r="K104" s="11">
        <f t="shared" si="28"/>
        <v>0</v>
      </c>
      <c r="L104" s="11">
        <f t="shared" si="28"/>
        <v>0</v>
      </c>
      <c r="M104" s="11">
        <f t="shared" si="28"/>
        <v>0</v>
      </c>
      <c r="N104" s="11">
        <f t="shared" si="28"/>
        <v>0</v>
      </c>
      <c r="O104" s="11">
        <f t="shared" si="28"/>
        <v>0</v>
      </c>
      <c r="P104" s="11">
        <f t="shared" si="28"/>
        <v>0</v>
      </c>
      <c r="Q104" s="11">
        <f t="shared" si="28"/>
        <v>0</v>
      </c>
      <c r="R104" s="11">
        <f t="shared" si="28"/>
        <v>0</v>
      </c>
      <c r="S104" s="11">
        <f t="shared" si="28"/>
        <v>0</v>
      </c>
      <c r="T104" s="11">
        <f t="shared" si="28"/>
        <v>0</v>
      </c>
      <c r="U104" s="11">
        <f t="shared" si="28"/>
        <v>0</v>
      </c>
      <c r="V104" s="11">
        <f t="shared" si="28"/>
        <v>0</v>
      </c>
      <c r="W104" s="11">
        <f t="shared" si="28"/>
        <v>0</v>
      </c>
      <c r="X104" s="11">
        <f t="shared" si="28"/>
        <v>0.12</v>
      </c>
      <c r="Y104" s="11"/>
    </row>
    <row r="105" ht="12.0" customHeight="1"/>
    <row r="106" ht="12.0" customHeight="1"/>
    <row r="107" ht="12.0" customHeight="1">
      <c r="D107" s="296" t="s">
        <v>842</v>
      </c>
      <c r="E107" s="11"/>
      <c r="F107" s="11"/>
      <c r="G107" s="11"/>
      <c r="H107" s="11"/>
      <c r="I107" s="11"/>
      <c r="J107" s="11"/>
      <c r="K107" s="11"/>
      <c r="L107" s="11"/>
      <c r="M107" s="11"/>
      <c r="N107" s="11"/>
      <c r="O107" s="11"/>
      <c r="P107" s="11"/>
      <c r="Q107" s="11"/>
      <c r="R107" s="11"/>
      <c r="S107" s="11"/>
      <c r="T107" s="11"/>
      <c r="U107" s="11"/>
      <c r="V107" s="11"/>
      <c r="W107" s="11"/>
      <c r="X107" s="11"/>
      <c r="Y107" s="11"/>
    </row>
    <row r="108" ht="12.0" customHeight="1">
      <c r="D108" s="287" t="s">
        <v>856</v>
      </c>
      <c r="E108" s="11"/>
      <c r="F108" s="11"/>
      <c r="G108" s="11"/>
      <c r="H108" s="11"/>
      <c r="I108" s="235" t="s">
        <v>333</v>
      </c>
      <c r="J108" s="11">
        <f>'Design Calculator'!H56</f>
        <v>175</v>
      </c>
      <c r="K108" s="11" t="s">
        <v>894</v>
      </c>
      <c r="L108" s="11"/>
      <c r="M108" s="11"/>
      <c r="N108" s="11"/>
      <c r="O108" s="11"/>
      <c r="P108" s="11"/>
      <c r="Q108" s="11"/>
      <c r="R108" s="11"/>
      <c r="S108" s="11"/>
      <c r="T108" s="11"/>
      <c r="U108" s="11"/>
      <c r="V108" s="11"/>
      <c r="W108" s="11"/>
      <c r="X108" s="11"/>
      <c r="Y108" s="11"/>
    </row>
    <row r="109" ht="12.0" customHeight="1">
      <c r="D109" s="11" t="s">
        <v>858</v>
      </c>
      <c r="E109" s="11">
        <f>SOA!H124</f>
        <v>85</v>
      </c>
      <c r="F109" s="11"/>
      <c r="G109" s="11"/>
      <c r="H109" s="11"/>
      <c r="I109" s="11"/>
      <c r="J109" s="11"/>
      <c r="K109" s="11"/>
      <c r="L109" s="11"/>
      <c r="M109" s="11"/>
      <c r="N109" s="11"/>
      <c r="O109" s="11"/>
      <c r="P109" s="11"/>
      <c r="Q109" s="11"/>
      <c r="R109" s="11"/>
      <c r="S109" s="11"/>
      <c r="T109" s="11"/>
      <c r="U109" s="11"/>
      <c r="V109" s="11"/>
      <c r="W109" s="11"/>
      <c r="X109" s="11"/>
      <c r="Y109" s="11"/>
    </row>
    <row r="110" ht="12.0" customHeight="1">
      <c r="D110" s="11" t="s">
        <v>859</v>
      </c>
      <c r="E110" s="11">
        <v>1.5</v>
      </c>
      <c r="F110" s="11"/>
      <c r="G110" s="11"/>
      <c r="H110" s="11"/>
      <c r="I110" s="252" t="s">
        <v>826</v>
      </c>
      <c r="J110" s="11"/>
      <c r="K110" s="262"/>
      <c r="L110" s="262"/>
      <c r="M110" s="262"/>
      <c r="N110" s="11"/>
      <c r="O110" s="11"/>
      <c r="P110" s="11"/>
      <c r="Q110" s="11"/>
      <c r="R110" s="11"/>
      <c r="S110" s="11"/>
      <c r="T110" s="11"/>
      <c r="U110" s="11"/>
      <c r="V110" s="11"/>
      <c r="W110" s="11"/>
      <c r="X110" s="11"/>
      <c r="Y110" s="11"/>
    </row>
    <row r="111" ht="12.0" customHeight="1">
      <c r="D111" s="11" t="s">
        <v>860</v>
      </c>
      <c r="E111" s="11">
        <f>1/2*COUTMAX*VINMAX^2*0.000001</f>
        <v>1.35</v>
      </c>
      <c r="F111" s="11"/>
      <c r="G111" s="11"/>
      <c r="H111" s="11"/>
      <c r="I111" s="11"/>
      <c r="J111" s="287" t="s">
        <v>861</v>
      </c>
      <c r="K111" s="304" t="s">
        <v>893</v>
      </c>
      <c r="L111" s="304" t="s">
        <v>863</v>
      </c>
      <c r="M111" s="304" t="s">
        <v>864</v>
      </c>
      <c r="N111" s="11"/>
      <c r="O111" s="11"/>
      <c r="P111" s="11"/>
      <c r="Q111" s="11"/>
      <c r="R111" s="11"/>
      <c r="S111" s="11"/>
      <c r="T111" s="11"/>
      <c r="U111" s="11"/>
      <c r="V111" s="11"/>
      <c r="W111" s="11"/>
      <c r="X111" s="11"/>
      <c r="Y111" s="11"/>
    </row>
    <row r="112" ht="12.0" customHeight="1">
      <c r="D112" s="11" t="s">
        <v>865</v>
      </c>
      <c r="E112" s="289">
        <f>MAX(Equations!H71-E111,0)</f>
        <v>0.82265625</v>
      </c>
      <c r="F112" s="11"/>
      <c r="G112" s="11"/>
      <c r="H112" s="11"/>
      <c r="I112" s="252" t="s">
        <v>831</v>
      </c>
      <c r="J112" s="252">
        <v>0.01</v>
      </c>
      <c r="K112" s="252">
        <v>0.1</v>
      </c>
      <c r="L112" s="252">
        <v>1.0</v>
      </c>
      <c r="M112" s="252">
        <v>10.0</v>
      </c>
      <c r="N112" s="11"/>
      <c r="O112" s="11"/>
      <c r="P112" s="11"/>
      <c r="Q112" s="11"/>
      <c r="R112" s="11"/>
      <c r="S112" s="11"/>
      <c r="T112" s="11"/>
      <c r="U112" s="11"/>
      <c r="V112" s="11"/>
      <c r="W112" s="11"/>
      <c r="X112" s="11"/>
      <c r="Y112" s="11"/>
    </row>
    <row r="113" ht="12.0" customHeight="1">
      <c r="D113" s="11" t="s">
        <v>866</v>
      </c>
      <c r="E113" s="11">
        <f>Equations!H70</f>
        <v>281.25</v>
      </c>
      <c r="F113" s="11"/>
      <c r="G113" s="11"/>
      <c r="H113" s="11"/>
      <c r="I113" s="252" t="s">
        <v>832</v>
      </c>
      <c r="J113" s="252">
        <v>0.1</v>
      </c>
      <c r="K113" s="252">
        <v>1.0</v>
      </c>
      <c r="L113" s="252">
        <v>10.0</v>
      </c>
      <c r="M113" s="252">
        <v>100.0</v>
      </c>
      <c r="N113" s="11"/>
      <c r="O113" s="11"/>
      <c r="P113" s="11"/>
      <c r="Q113" s="11"/>
      <c r="R113" s="11"/>
      <c r="S113" s="11"/>
      <c r="T113" s="11"/>
      <c r="U113" s="11"/>
      <c r="V113" s="11"/>
      <c r="W113" s="11"/>
      <c r="X113" s="11"/>
      <c r="Y113" s="11"/>
    </row>
    <row r="114" ht="12.0" customHeight="1">
      <c r="D114" s="11"/>
      <c r="E114" s="11"/>
      <c r="F114" s="11"/>
      <c r="G114" s="11"/>
      <c r="H114" s="11"/>
      <c r="I114" s="252" t="s">
        <v>634</v>
      </c>
      <c r="J114" s="252">
        <f>SOA!C132</f>
        <v>200</v>
      </c>
      <c r="K114" s="252">
        <f>SOA!D132</f>
        <v>15</v>
      </c>
      <c r="L114" s="252">
        <f>SOA!E132</f>
        <v>15</v>
      </c>
      <c r="M114" s="252">
        <f>SOA!F132</f>
        <v>13.84615385</v>
      </c>
      <c r="N114" s="11"/>
      <c r="O114" s="11"/>
      <c r="P114" s="11"/>
      <c r="Q114" s="11"/>
      <c r="R114" s="11"/>
      <c r="S114" s="11"/>
      <c r="T114" s="11"/>
      <c r="U114" s="11"/>
      <c r="V114" s="11"/>
      <c r="W114" s="11"/>
      <c r="X114" s="11"/>
      <c r="Y114" s="11"/>
    </row>
    <row r="115" ht="12.0" customHeight="1">
      <c r="D115" s="11" t="s">
        <v>68</v>
      </c>
      <c r="E115" s="11">
        <f>'Design Calculator'!F27</f>
        <v>0</v>
      </c>
      <c r="F115" s="11"/>
      <c r="G115" s="11"/>
      <c r="H115" s="11"/>
      <c r="I115" s="252" t="s">
        <v>635</v>
      </c>
      <c r="J115" s="262">
        <f>SOA!C133</f>
        <v>0</v>
      </c>
      <c r="K115" s="262">
        <f>SOA!D133</f>
        <v>-1.124938737</v>
      </c>
      <c r="L115" s="262">
        <f>SOA!E133</f>
        <v>-0.6989700043</v>
      </c>
      <c r="M115" s="262">
        <f>SOA!F133</f>
        <v>-0.6642078981</v>
      </c>
      <c r="N115" s="11"/>
      <c r="O115" s="11"/>
      <c r="P115" s="11"/>
      <c r="Q115" s="11"/>
      <c r="R115" s="11"/>
      <c r="S115" s="11"/>
      <c r="T115" s="11"/>
      <c r="U115" s="11"/>
      <c r="V115" s="11"/>
      <c r="W115" s="11"/>
      <c r="X115" s="11"/>
      <c r="Y115" s="11"/>
    </row>
    <row r="116" ht="12.0" customHeight="1">
      <c r="D116" s="11" t="s">
        <v>69</v>
      </c>
      <c r="E116" s="11" t="str">
        <f>'Design Calculator'!F28</f>
        <v>Constant Current</v>
      </c>
      <c r="F116" s="11"/>
      <c r="G116" s="11"/>
      <c r="H116" s="11"/>
      <c r="I116" s="11"/>
      <c r="J116" s="11"/>
      <c r="K116" s="11"/>
      <c r="L116" s="11"/>
      <c r="M116" s="11"/>
      <c r="N116" s="11"/>
      <c r="O116" s="11"/>
      <c r="P116" s="11"/>
      <c r="Q116" s="11"/>
      <c r="R116" s="11"/>
      <c r="S116" s="11"/>
      <c r="T116" s="11"/>
      <c r="U116" s="11"/>
      <c r="V116" s="11"/>
      <c r="W116" s="11"/>
      <c r="X116" s="11"/>
      <c r="Y116" s="11"/>
    </row>
    <row r="117" ht="12.0" customHeight="1">
      <c r="D117" s="11" t="s">
        <v>72</v>
      </c>
      <c r="E117" s="11">
        <f>'Design Calculator'!F29</f>
        <v>0.2</v>
      </c>
      <c r="F117" s="11"/>
      <c r="G117" s="11"/>
      <c r="H117" s="11"/>
      <c r="I117" s="264" t="s">
        <v>867</v>
      </c>
      <c r="J117" s="287" t="s">
        <v>793</v>
      </c>
      <c r="K117" s="11"/>
      <c r="L117" s="11"/>
      <c r="M117" s="11"/>
      <c r="N117" s="11"/>
      <c r="O117" s="11"/>
      <c r="P117" s="11"/>
      <c r="Q117" s="11"/>
      <c r="R117" s="11"/>
      <c r="S117" s="11"/>
      <c r="T117" s="11"/>
      <c r="U117" s="11"/>
      <c r="V117" s="11"/>
      <c r="W117" s="11"/>
      <c r="X117" s="11"/>
      <c r="Y117" s="11"/>
    </row>
    <row r="118" ht="12.0" customHeight="1">
      <c r="D118" s="11"/>
      <c r="E118" s="11"/>
      <c r="F118" s="11"/>
      <c r="G118" s="11" t="s">
        <v>868</v>
      </c>
      <c r="H118" s="11"/>
      <c r="I118" s="143">
        <f t="shared" ref="I118:I119" si="29">SUM(E148:X148)</f>
        <v>0</v>
      </c>
      <c r="J118" s="143" t="str">
        <f>IF(I118=0, "NA", I118/AVERAGE(1, E122))</f>
        <v>NA</v>
      </c>
      <c r="K118" s="11"/>
      <c r="L118" s="11"/>
      <c r="M118" s="11"/>
      <c r="N118" s="11"/>
      <c r="O118" s="11"/>
      <c r="P118" s="11"/>
      <c r="Q118" s="11"/>
      <c r="R118" s="11"/>
      <c r="S118" s="11"/>
      <c r="T118" s="11"/>
      <c r="U118" s="11"/>
      <c r="V118" s="11"/>
      <c r="W118" s="11"/>
      <c r="X118" s="11"/>
      <c r="Y118" s="11"/>
    </row>
    <row r="119" ht="12.0" customHeight="1">
      <c r="D119" s="11" t="s">
        <v>869</v>
      </c>
      <c r="E119" s="11">
        <f>12/1</f>
        <v>12</v>
      </c>
      <c r="F119" s="11"/>
      <c r="G119" s="11" t="s">
        <v>870</v>
      </c>
      <c r="H119" s="11"/>
      <c r="I119" s="143">
        <f t="shared" si="29"/>
        <v>0</v>
      </c>
      <c r="J119" s="143" t="str">
        <f>IF(I119=0, "NA", I119*AVERAGE(1,E122))</f>
        <v>NA</v>
      </c>
      <c r="K119" s="11"/>
      <c r="L119" s="11"/>
      <c r="M119" s="11"/>
      <c r="N119" s="11"/>
      <c r="O119" s="11"/>
      <c r="P119" s="11"/>
      <c r="Q119" s="11"/>
      <c r="R119" s="11"/>
      <c r="S119" s="11"/>
      <c r="T119" s="11"/>
      <c r="U119" s="11"/>
      <c r="V119" s="11"/>
      <c r="W119" s="11"/>
      <c r="X119" s="11"/>
      <c r="Y119" s="11"/>
    </row>
    <row r="120" ht="12.0" customHeight="1">
      <c r="D120" s="11" t="s">
        <v>871</v>
      </c>
      <c r="E120" s="11">
        <v>0.12</v>
      </c>
      <c r="F120" s="11"/>
      <c r="G120" s="11"/>
      <c r="H120" s="11"/>
      <c r="I120" s="11"/>
      <c r="J120" s="11"/>
      <c r="K120" s="11"/>
      <c r="L120" s="11"/>
      <c r="M120" s="11"/>
      <c r="N120" s="11"/>
      <c r="O120" s="11"/>
      <c r="P120" s="11"/>
      <c r="Q120" s="11"/>
      <c r="R120" s="11"/>
      <c r="S120" s="11"/>
      <c r="T120" s="11"/>
      <c r="U120" s="11"/>
      <c r="V120" s="11"/>
      <c r="W120" s="11"/>
      <c r="X120" s="11"/>
      <c r="Y120" s="11"/>
    </row>
    <row r="121" ht="12.0" customHeight="1">
      <c r="D121" s="11" t="s">
        <v>872</v>
      </c>
      <c r="E121" s="11">
        <v>20.0</v>
      </c>
      <c r="F121" s="11"/>
      <c r="G121" s="11"/>
      <c r="H121" s="11"/>
      <c r="I121" s="11"/>
      <c r="J121" s="11"/>
      <c r="K121" s="11"/>
      <c r="L121" s="11"/>
      <c r="M121" s="11"/>
      <c r="N121" s="11"/>
      <c r="O121" s="11"/>
      <c r="P121" s="11"/>
      <c r="Q121" s="11"/>
      <c r="R121" s="11"/>
      <c r="S121" s="11"/>
      <c r="T121" s="11"/>
      <c r="U121" s="11"/>
      <c r="V121" s="11"/>
      <c r="W121" s="11"/>
      <c r="X121" s="11"/>
      <c r="Y121" s="11"/>
    </row>
    <row r="122" ht="12.0" customHeight="1">
      <c r="D122" s="11" t="s">
        <v>873</v>
      </c>
      <c r="E122" s="11">
        <f>(E120/E119)^(1/(E121-1))</f>
        <v>0.7847599704</v>
      </c>
      <c r="F122" s="11"/>
      <c r="G122" s="11"/>
      <c r="H122" s="11"/>
      <c r="I122" s="11"/>
      <c r="J122" s="11"/>
      <c r="K122" s="11"/>
      <c r="L122" s="11"/>
      <c r="M122" s="11"/>
      <c r="N122" s="11"/>
      <c r="O122" s="11"/>
      <c r="P122" s="11"/>
      <c r="Q122" s="11"/>
      <c r="R122" s="11"/>
      <c r="S122" s="11"/>
      <c r="T122" s="11"/>
      <c r="U122" s="11"/>
      <c r="V122" s="11"/>
      <c r="W122" s="11"/>
      <c r="X122" s="11"/>
      <c r="Y122" s="11"/>
    </row>
    <row r="123" ht="12.0" customHeight="1">
      <c r="D123" s="11"/>
      <c r="E123" s="11"/>
      <c r="F123" s="11"/>
      <c r="G123" s="11"/>
      <c r="H123" s="11"/>
      <c r="I123" s="11"/>
      <c r="J123" s="11"/>
      <c r="K123" s="11"/>
      <c r="L123" s="11"/>
      <c r="M123" s="11"/>
      <c r="N123" s="11"/>
      <c r="O123" s="11"/>
      <c r="P123" s="11"/>
      <c r="Q123" s="11"/>
      <c r="R123" s="11"/>
      <c r="S123" s="11"/>
      <c r="T123" s="11"/>
      <c r="U123" s="11"/>
      <c r="V123" s="11"/>
      <c r="W123" s="11"/>
      <c r="X123" s="11"/>
      <c r="Y123" s="11"/>
    </row>
    <row r="124" ht="12.0" customHeight="1">
      <c r="D124" s="11"/>
      <c r="E124" s="11">
        <v>1.0</v>
      </c>
      <c r="F124" s="11">
        <v>2.0</v>
      </c>
      <c r="G124" s="11">
        <v>3.0</v>
      </c>
      <c r="H124" s="11">
        <v>4.0</v>
      </c>
      <c r="I124" s="11">
        <v>5.0</v>
      </c>
      <c r="J124" s="11">
        <v>6.0</v>
      </c>
      <c r="K124" s="11">
        <v>7.0</v>
      </c>
      <c r="L124" s="11">
        <v>8.0</v>
      </c>
      <c r="M124" s="11">
        <v>9.0</v>
      </c>
      <c r="N124" s="11">
        <v>10.0</v>
      </c>
      <c r="O124" s="11">
        <v>11.0</v>
      </c>
      <c r="P124" s="11">
        <v>12.0</v>
      </c>
      <c r="Q124" s="11">
        <v>13.0</v>
      </c>
      <c r="R124" s="11">
        <v>14.0</v>
      </c>
      <c r="S124" s="11">
        <v>15.0</v>
      </c>
      <c r="T124" s="11">
        <v>16.0</v>
      </c>
      <c r="U124" s="11">
        <v>17.0</v>
      </c>
      <c r="V124" s="11">
        <v>18.0</v>
      </c>
      <c r="W124" s="11">
        <v>19.0</v>
      </c>
      <c r="X124" s="11">
        <v>20.0</v>
      </c>
      <c r="Y124" s="11"/>
    </row>
    <row r="125" ht="12.0" customHeight="1">
      <c r="D125" s="314" t="s">
        <v>874</v>
      </c>
      <c r="E125" s="314">
        <f>E119</f>
        <v>12</v>
      </c>
      <c r="F125" s="314">
        <f t="shared" ref="F125:X125" si="30">E125*$E$32</f>
        <v>9.417119644</v>
      </c>
      <c r="G125" s="314">
        <f t="shared" si="30"/>
        <v>7.390178533</v>
      </c>
      <c r="H125" s="314">
        <f t="shared" si="30"/>
        <v>5.799516286</v>
      </c>
      <c r="I125" s="314">
        <f t="shared" si="30"/>
        <v>4.551228229</v>
      </c>
      <c r="J125" s="314">
        <f t="shared" si="30"/>
        <v>3.57162173</v>
      </c>
      <c r="K125" s="314">
        <f t="shared" si="30"/>
        <v>2.802865763</v>
      </c>
      <c r="L125" s="314">
        <f t="shared" si="30"/>
        <v>2.199576853</v>
      </c>
      <c r="M125" s="314">
        <f t="shared" si="30"/>
        <v>1.726139866</v>
      </c>
      <c r="N125" s="314">
        <f t="shared" si="30"/>
        <v>1.35460547</v>
      </c>
      <c r="O125" s="314">
        <f t="shared" si="30"/>
        <v>1.063040148</v>
      </c>
      <c r="P125" s="314">
        <f t="shared" si="30"/>
        <v>0.8342313554</v>
      </c>
      <c r="Q125" s="314">
        <f t="shared" si="30"/>
        <v>0.6546713737</v>
      </c>
      <c r="R125" s="314">
        <f t="shared" si="30"/>
        <v>0.5137598878</v>
      </c>
      <c r="S125" s="314">
        <f t="shared" si="30"/>
        <v>0.4031781944</v>
      </c>
      <c r="T125" s="314">
        <f t="shared" si="30"/>
        <v>0.3163981078</v>
      </c>
      <c r="U125" s="314">
        <f t="shared" si="30"/>
        <v>0.2482965697</v>
      </c>
      <c r="V125" s="314">
        <f t="shared" si="30"/>
        <v>0.1948532087</v>
      </c>
      <c r="W125" s="314">
        <f t="shared" si="30"/>
        <v>0.1529129983</v>
      </c>
      <c r="X125" s="314">
        <f t="shared" si="30"/>
        <v>0.12</v>
      </c>
      <c r="Y125" s="11"/>
    </row>
    <row r="126" ht="12.0" customHeight="1">
      <c r="D126" s="11" t="s">
        <v>875</v>
      </c>
      <c r="E126" s="11">
        <f>VINMAX/E125</f>
        <v>2.5</v>
      </c>
      <c r="F126" s="11">
        <f>VINMAX/F125</f>
        <v>3.185687464</v>
      </c>
      <c r="G126" s="11">
        <f>VINMAX/G125</f>
        <v>4.059441848</v>
      </c>
      <c r="H126" s="11">
        <f>VINMAX/H125</f>
        <v>5.172845203</v>
      </c>
      <c r="I126" s="11">
        <f>VINMAX/I125</f>
        <v>6.591627247</v>
      </c>
      <c r="J126" s="11">
        <f>VINMAX/J125</f>
        <v>8.399545716</v>
      </c>
      <c r="K126" s="11">
        <f>VINMAX/K125</f>
        <v>10.703331</v>
      </c>
      <c r="L126" s="11">
        <f>VINMAX/L125</f>
        <v>13.63898695</v>
      </c>
      <c r="M126" s="11">
        <f>VINMAX/M125</f>
        <v>17.3798199</v>
      </c>
      <c r="N126" s="11">
        <f>VINMAX/N125</f>
        <v>22.14666976</v>
      </c>
      <c r="O126" s="11">
        <f>VINMAX/O125</f>
        <v>28.22094729</v>
      </c>
      <c r="P126" s="11">
        <f>VINMAX/P125</f>
        <v>35.96124721</v>
      </c>
      <c r="Q126" s="11">
        <f>VINMAX/Q125</f>
        <v>45.82451777</v>
      </c>
      <c r="R126" s="11">
        <f>VINMAX/R125</f>
        <v>58.39303673</v>
      </c>
      <c r="S126" s="11">
        <f>VINMAX/S125</f>
        <v>74.40878604</v>
      </c>
      <c r="T126" s="11">
        <f>VINMAX/T125</f>
        <v>94.81725477</v>
      </c>
      <c r="U126" s="11">
        <f>VINMAX/U125</f>
        <v>120.823256</v>
      </c>
      <c r="V126" s="11">
        <f>VINMAX/V125</f>
        <v>153.9620528</v>
      </c>
      <c r="W126" s="11">
        <f>VINMAX/W125</f>
        <v>196.1899926</v>
      </c>
      <c r="X126" s="11">
        <f>VINMAX/X125</f>
        <v>250</v>
      </c>
      <c r="Y126" s="11"/>
    </row>
    <row r="127" ht="12.0" customHeight="1">
      <c r="D127" s="11" t="s">
        <v>876</v>
      </c>
      <c r="E127" s="11">
        <f>E125*COUTMAX/1000</f>
        <v>36</v>
      </c>
      <c r="F127" s="11">
        <f>F125*COUTMAX/1000</f>
        <v>28.25135893</v>
      </c>
      <c r="G127" s="11">
        <f>G125*COUTMAX/1000</f>
        <v>22.1705356</v>
      </c>
      <c r="H127" s="11">
        <f>H125*COUTMAX/1000</f>
        <v>17.39854886</v>
      </c>
      <c r="I127" s="11">
        <f>I125*COUTMAX/1000</f>
        <v>13.65368469</v>
      </c>
      <c r="J127" s="11">
        <f>J125*COUTMAX/1000</f>
        <v>10.71486519</v>
      </c>
      <c r="K127" s="11">
        <f>K125*COUTMAX/1000</f>
        <v>8.408597289</v>
      </c>
      <c r="L127" s="11">
        <f>L125*COUTMAX/1000</f>
        <v>6.598730559</v>
      </c>
      <c r="M127" s="11">
        <f>M125*COUTMAX/1000</f>
        <v>5.178419598</v>
      </c>
      <c r="N127" s="11">
        <f>N125*COUTMAX/1000</f>
        <v>4.06381641</v>
      </c>
      <c r="O127" s="11">
        <f>O125*COUTMAX/1000</f>
        <v>3.189120445</v>
      </c>
      <c r="P127" s="11">
        <f>P125*COUTMAX/1000</f>
        <v>2.502694066</v>
      </c>
      <c r="Q127" s="11">
        <f>Q125*COUTMAX/1000</f>
        <v>1.964014121</v>
      </c>
      <c r="R127" s="11">
        <f>R125*COUTMAX/1000</f>
        <v>1.541279664</v>
      </c>
      <c r="S127" s="11">
        <f>S125*COUTMAX/1000</f>
        <v>1.209534583</v>
      </c>
      <c r="T127" s="11">
        <f>T125*COUTMAX/1000</f>
        <v>0.9491943235</v>
      </c>
      <c r="U127" s="11">
        <f>U125*COUTMAX/1000</f>
        <v>0.7448897092</v>
      </c>
      <c r="V127" s="11">
        <f>V125*COUTMAX/1000</f>
        <v>0.5845596261</v>
      </c>
      <c r="W127" s="11">
        <f>W125*COUTMAX/1000</f>
        <v>0.4587389949</v>
      </c>
      <c r="X127" s="11">
        <f>X125*COUTMAX/1000</f>
        <v>0.36</v>
      </c>
      <c r="Y127" s="11"/>
    </row>
    <row r="128" ht="12.0" customHeight="1">
      <c r="D128" s="11" t="s">
        <v>877</v>
      </c>
      <c r="E128" s="289">
        <f t="shared" ref="E128:X128" si="31">$E$111+$E$112*E126/$E$113</f>
        <v>1.3573125</v>
      </c>
      <c r="F128" s="289">
        <f t="shared" si="31"/>
        <v>1.359318136</v>
      </c>
      <c r="G128" s="289">
        <f t="shared" si="31"/>
        <v>1.361873867</v>
      </c>
      <c r="H128" s="289">
        <f t="shared" si="31"/>
        <v>1.365130572</v>
      </c>
      <c r="I128" s="289">
        <f t="shared" si="31"/>
        <v>1.36928051</v>
      </c>
      <c r="J128" s="289">
        <f t="shared" si="31"/>
        <v>1.374568671</v>
      </c>
      <c r="K128" s="289">
        <f t="shared" si="31"/>
        <v>1.381307243</v>
      </c>
      <c r="L128" s="289">
        <f t="shared" si="31"/>
        <v>1.389894037</v>
      </c>
      <c r="M128" s="289">
        <f t="shared" si="31"/>
        <v>1.400835973</v>
      </c>
      <c r="N128" s="289">
        <f t="shared" si="31"/>
        <v>1.414779009</v>
      </c>
      <c r="O128" s="289">
        <f t="shared" si="31"/>
        <v>1.432546271</v>
      </c>
      <c r="P128" s="289">
        <f t="shared" si="31"/>
        <v>1.455186648</v>
      </c>
      <c r="Q128" s="289">
        <f t="shared" si="31"/>
        <v>1.484036714</v>
      </c>
      <c r="R128" s="289">
        <f t="shared" si="31"/>
        <v>1.520799632</v>
      </c>
      <c r="S128" s="289">
        <f t="shared" si="31"/>
        <v>1.567645699</v>
      </c>
      <c r="T128" s="289">
        <f t="shared" si="31"/>
        <v>1.62734047</v>
      </c>
      <c r="U128" s="289">
        <f t="shared" si="31"/>
        <v>1.703408024</v>
      </c>
      <c r="V128" s="289">
        <f t="shared" si="31"/>
        <v>1.800339004</v>
      </c>
      <c r="W128" s="289">
        <f t="shared" si="31"/>
        <v>1.923855728</v>
      </c>
      <c r="X128" s="289">
        <f t="shared" si="31"/>
        <v>2.08125</v>
      </c>
      <c r="Y128" s="11"/>
    </row>
    <row r="129" ht="12.0" customHeight="1">
      <c r="D129" s="11" t="s">
        <v>878</v>
      </c>
      <c r="E129" s="11">
        <f>(E127+IF($E$116="Resistive",0,IF($E$115=0,$E$117,0)))*VINMAX</f>
        <v>1086</v>
      </c>
      <c r="F129" s="11">
        <f>(F127+IF($E$116="Resistive",0,IF($E$115=0,$E$117,0)))*VINMAX</f>
        <v>853.540768</v>
      </c>
      <c r="G129" s="11">
        <f>(G127+IF($E$116="Resistive",0,IF($E$115=0,$E$117,0)))*VINMAX</f>
        <v>671.116068</v>
      </c>
      <c r="H129" s="11">
        <f>(H127+IF($E$116="Resistive",0,IF($E$115=0,$E$117,0)))*VINMAX</f>
        <v>527.9564658</v>
      </c>
      <c r="I129" s="11">
        <f>(I127+IF($E$116="Resistive",0,IF($E$115=0,$E$117,0)))*VINMAX</f>
        <v>415.6105406</v>
      </c>
      <c r="J129" s="11">
        <f>(J127+IF($E$116="Resistive",0,IF($E$115=0,$E$117,0)))*VINMAX</f>
        <v>327.4459557</v>
      </c>
      <c r="K129" s="11">
        <f>(K127+IF($E$116="Resistive",0,IF($E$115=0,$E$117,0)))*VINMAX</f>
        <v>258.2579187</v>
      </c>
      <c r="L129" s="11">
        <f>(L127+IF($E$116="Resistive",0,IF($E$115=0,$E$117,0)))*VINMAX</f>
        <v>203.9619168</v>
      </c>
      <c r="M129" s="11">
        <f>(M127+IF($E$116="Resistive",0,IF($E$115=0,$E$117,0)))*VINMAX</f>
        <v>161.3525879</v>
      </c>
      <c r="N129" s="11">
        <f>(N127+IF($E$116="Resistive",0,IF($E$115=0,$E$117,0)))*VINMAX</f>
        <v>127.9144923</v>
      </c>
      <c r="O129" s="11">
        <f>(O127+IF($E$116="Resistive",0,IF($E$115=0,$E$117,0)))*VINMAX</f>
        <v>101.6736134</v>
      </c>
      <c r="P129" s="11">
        <f>(P127+IF($E$116="Resistive",0,IF($E$115=0,$E$117,0)))*VINMAX</f>
        <v>81.08082199</v>
      </c>
      <c r="Q129" s="11">
        <f>(Q127+IF($E$116="Resistive",0,IF($E$115=0,$E$117,0)))*VINMAX</f>
        <v>64.92042364</v>
      </c>
      <c r="R129" s="11">
        <f>(R127+IF($E$116="Resistive",0,IF($E$115=0,$E$117,0)))*VINMAX</f>
        <v>52.23838991</v>
      </c>
      <c r="S129" s="11">
        <f>(S127+IF($E$116="Resistive",0,IF($E$115=0,$E$117,0)))*VINMAX</f>
        <v>42.28603749</v>
      </c>
      <c r="T129" s="11">
        <f>(T127+IF($E$116="Resistive",0,IF($E$115=0,$E$117,0)))*VINMAX</f>
        <v>34.47582971</v>
      </c>
      <c r="U129" s="11">
        <f>(U127+IF($E$116="Resistive",0,IF($E$115=0,$E$117,0)))*VINMAX</f>
        <v>28.34669128</v>
      </c>
      <c r="V129" s="11">
        <f>(V127+IF($E$116="Resistive",0,IF($E$115=0,$E$117,0)))*VINMAX</f>
        <v>23.53678878</v>
      </c>
      <c r="W129" s="11">
        <f>(W127+IF($E$116="Resistive",0,IF($E$115=0,$E$117,0)))*VINMAX</f>
        <v>19.76216985</v>
      </c>
      <c r="X129" s="11">
        <f>(X127+IF($E$116="Resistive",0,IF($E$115=0,$E$117,0)))*VINMAX</f>
        <v>16.8</v>
      </c>
      <c r="Y129" s="11"/>
    </row>
    <row r="130" ht="12.0" customHeight="1">
      <c r="D130" s="11" t="s">
        <v>879</v>
      </c>
      <c r="E130" s="11">
        <f>(E127+IF($E$116="Resistive", $E$115/$E$117,$E$117)) *(VINMAX-$E$115)</f>
        <v>1086</v>
      </c>
      <c r="F130" s="11">
        <f>(F127+IF($E$116="Resistive", $E$115/$E$117,$E$117)) *(VINMAX-$E$115)</f>
        <v>853.540768</v>
      </c>
      <c r="G130" s="11">
        <f>(G127+IF($E$116="Resistive", $E$115/$E$117,$E$117)) *(VINMAX-$E$115)</f>
        <v>671.116068</v>
      </c>
      <c r="H130" s="11">
        <f>(H127+IF($E$116="Resistive", $E$115/$E$117,$E$117)) *(VINMAX-$E$115)</f>
        <v>527.9564658</v>
      </c>
      <c r="I130" s="11">
        <f>(I127+IF($E$116="Resistive", $E$115/$E$117,$E$117)) *(VINMAX-$E$115)</f>
        <v>415.6105406</v>
      </c>
      <c r="J130" s="11">
        <f>(J127+IF($E$116="Resistive", $E$115/$E$117,$E$117)) *(VINMAX-$E$115)</f>
        <v>327.4459557</v>
      </c>
      <c r="K130" s="11">
        <f>(K127+IF($E$116="Resistive", $E$115/$E$117,$E$117)) *(VINMAX-$E$115)</f>
        <v>258.2579187</v>
      </c>
      <c r="L130" s="11">
        <f>(L127+IF($E$116="Resistive", $E$115/$E$117,$E$117)) *(VINMAX-$E$115)</f>
        <v>203.9619168</v>
      </c>
      <c r="M130" s="11">
        <f>(M127+IF($E$116="Resistive", $E$115/$E$117,$E$117)) *(VINMAX-$E$115)</f>
        <v>161.3525879</v>
      </c>
      <c r="N130" s="11">
        <f>(N127+IF($E$116="Resistive", $E$115/$E$117,$E$117)) *(VINMAX-$E$115)</f>
        <v>127.9144923</v>
      </c>
      <c r="O130" s="11">
        <f>(O127+IF($E$116="Resistive", $E$115/$E$117,$E$117)) *(VINMAX-$E$115)</f>
        <v>101.6736134</v>
      </c>
      <c r="P130" s="11">
        <f>(P127+IF($E$116="Resistive", $E$115/$E$117,$E$117)) *(VINMAX-$E$115)</f>
        <v>81.08082199</v>
      </c>
      <c r="Q130" s="11">
        <f>(Q127+IF($E$116="Resistive", $E$115/$E$117,$E$117)) *(VINMAX-$E$115)</f>
        <v>64.92042364</v>
      </c>
      <c r="R130" s="11">
        <f>(R127+IF($E$116="Resistive", $E$115/$E$117,$E$117)) *(VINMAX-$E$115)</f>
        <v>52.23838991</v>
      </c>
      <c r="S130" s="11">
        <f>(S127+IF($E$116="Resistive", $E$115/$E$117,$E$117)) *(VINMAX-$E$115)</f>
        <v>42.28603749</v>
      </c>
      <c r="T130" s="11">
        <f>(T127+IF($E$116="Resistive", $E$115/$E$117,$E$117)) *(VINMAX-$E$115)</f>
        <v>34.47582971</v>
      </c>
      <c r="U130" s="11">
        <f>(U127+IF($E$116="Resistive", $E$115/$E$117,$E$117)) *(VINMAX-$E$115)</f>
        <v>28.34669128</v>
      </c>
      <c r="V130" s="11">
        <f>(V127+IF($E$116="Resistive", $E$115/$E$117,$E$117)) *(VINMAX-$E$115)</f>
        <v>23.53678878</v>
      </c>
      <c r="W130" s="11">
        <f>(W127+IF($E$116="Resistive", $E$115/$E$117,$E$117)) *(VINMAX-$E$115)</f>
        <v>19.76216985</v>
      </c>
      <c r="X130" s="11">
        <f>(X127+IF($E$116="Resistive", $E$115/$E$117,$E$117)) *(VINMAX-$E$115)</f>
        <v>16.8</v>
      </c>
      <c r="Y130" s="11"/>
    </row>
    <row r="131" ht="12.0" customHeight="1">
      <c r="D131" s="11" t="s">
        <v>880</v>
      </c>
      <c r="E131" s="11">
        <f>IF($E$116="Resistive", -$E$117*E127/2 + VINMAX/2, -1)</f>
        <v>-1</v>
      </c>
      <c r="F131" s="11">
        <f>IF($E$116="Resistive", -$E$117*F127/2 + VINMAX/2, -1)</f>
        <v>-1</v>
      </c>
      <c r="G131" s="11">
        <f>IF($E$116="Resistive", -$E$117*G127/2 + VINMAX/2, -1)</f>
        <v>-1</v>
      </c>
      <c r="H131" s="11">
        <f>IF($E$116="Resistive", -$E$117*H127/2 + VINMAX/2, -1)</f>
        <v>-1</v>
      </c>
      <c r="I131" s="11">
        <f>IF($E$116="Resistive", -$E$117*I127/2 + VINMAX/2, -1)</f>
        <v>-1</v>
      </c>
      <c r="J131" s="11">
        <f>IF($E$116="Resistive", -$E$117*J127/2 + VINMAX/2, -1)</f>
        <v>-1</v>
      </c>
      <c r="K131" s="11">
        <f>IF($E$116="Resistive", -$E$117*K127/2 + VINMAX/2, -1)</f>
        <v>-1</v>
      </c>
      <c r="L131" s="11">
        <f>IF($E$116="Resistive", -$E$117*L127/2 + VINMAX/2, -1)</f>
        <v>-1</v>
      </c>
      <c r="M131" s="11">
        <f>IF($E$116="Resistive", -$E$117*M127/2 + VINMAX/2, -1)</f>
        <v>-1</v>
      </c>
      <c r="N131" s="11">
        <f>IF($E$116="Resistive", -$E$117*N127/2 + VINMAX/2, -1)</f>
        <v>-1</v>
      </c>
      <c r="O131" s="11">
        <f>IF($E$116="Resistive", -$E$117*O127/2 + VINMAX/2, -1)</f>
        <v>-1</v>
      </c>
      <c r="P131" s="11">
        <f>IF($E$116="Resistive", -$E$117*P127/2 + VINMAX/2, -1)</f>
        <v>-1</v>
      </c>
      <c r="Q131" s="11">
        <f>IF($E$116="Resistive", -$E$117*Q127/2 + VINMAX/2, -1)</f>
        <v>-1</v>
      </c>
      <c r="R131" s="11">
        <f>IF($E$116="Resistive", -$E$117*R127/2 + VINMAX/2, -1)</f>
        <v>-1</v>
      </c>
      <c r="S131" s="11">
        <f>IF($E$116="Resistive", -$E$117*S127/2 + VINMAX/2, -1)</f>
        <v>-1</v>
      </c>
      <c r="T131" s="11">
        <f>IF($E$116="Resistive", -$E$117*T127/2 + VINMAX/2, -1)</f>
        <v>-1</v>
      </c>
      <c r="U131" s="11">
        <f>IF($E$116="Resistive", -$E$117*U127/2 + VINMAX/2, -1)</f>
        <v>-1</v>
      </c>
      <c r="V131" s="11">
        <f>IF($E$116="Resistive", -$E$117*V127/2 + VINMAX/2, -1)</f>
        <v>-1</v>
      </c>
      <c r="W131" s="11">
        <f>IF($E$116="Resistive", -$E$117*W127/2 + VINMAX/2, -1)</f>
        <v>-1</v>
      </c>
      <c r="X131" s="11">
        <f>IF($E$116="Resistive", -$E$117*X127/2 + VINMAX/2, -1)</f>
        <v>-1</v>
      </c>
      <c r="Y131" s="11"/>
    </row>
    <row r="132" ht="12.0" customHeight="1">
      <c r="D132" s="11" t="s">
        <v>881</v>
      </c>
      <c r="E132" s="11">
        <f>IF(AND(E131&lt;VINMAX, E131&gt;$E$115), (VINMAX-E131)*(E127+E131/$E$117), 0)</f>
        <v>0</v>
      </c>
      <c r="F132" s="11">
        <f>IF(AND(F131&lt;VINMAX, F131&gt;$E$115), (VINMAX-F131)*(F127+F131/$E$117), 0)</f>
        <v>0</v>
      </c>
      <c r="G132" s="11">
        <f>IF(AND(G131&lt;VINMAX, G131&gt;$E$115), (VINMAX-G131)*(G127+G131/$E$117), 0)</f>
        <v>0</v>
      </c>
      <c r="H132" s="11">
        <f>IF(AND(H131&lt;VINMAX, H131&gt;$E$115), (VINMAX-H131)*(H127+H131/$E$117), 0)</f>
        <v>0</v>
      </c>
      <c r="I132" s="11">
        <f>IF(AND(I131&lt;VINMAX, I131&gt;$E$115), (VINMAX-I131)*(I127+I131/$E$117), 0)</f>
        <v>0</v>
      </c>
      <c r="J132" s="11">
        <f>IF(AND(J131&lt;VINMAX, J131&gt;$E$115), (VINMAX-J131)*(J127+J131/$E$117), 0)</f>
        <v>0</v>
      </c>
      <c r="K132" s="11">
        <f>IF(AND(K131&lt;VINMAX, K131&gt;$E$115), (VINMAX-K131)*(K127+K131/$E$117), 0)</f>
        <v>0</v>
      </c>
      <c r="L132" s="11">
        <f>IF(AND(L131&lt;VINMAX, L131&gt;$E$115), (VINMAX-L131)*(L127+L131/$E$117), 0)</f>
        <v>0</v>
      </c>
      <c r="M132" s="11">
        <f>IF(AND(M131&lt;VINMAX, M131&gt;$E$115), (VINMAX-M131)*(M127+M131/$E$117), 0)</f>
        <v>0</v>
      </c>
      <c r="N132" s="11">
        <f>IF(AND(N131&lt;VINMAX, N131&gt;$E$115), (VINMAX-N131)*(N127+N131/$E$117), 0)</f>
        <v>0</v>
      </c>
      <c r="O132" s="11">
        <f>IF(AND(O131&lt;VINMAX, O131&gt;$E$115), (VINMAX-O131)*(O127+O131/$E$117), 0)</f>
        <v>0</v>
      </c>
      <c r="P132" s="11">
        <f>IF(AND(P131&lt;VINMAX, P131&gt;$E$115), (VINMAX-P131)*(P127+P131/$E$117), 0)</f>
        <v>0</v>
      </c>
      <c r="Q132" s="11">
        <f>IF(AND(Q131&lt;VINMAX, Q131&gt;$E$115), (VINMAX-Q131)*(Q127+Q131/$E$117), 0)</f>
        <v>0</v>
      </c>
      <c r="R132" s="11">
        <f>IF(AND(R131&lt;VINMAX, R131&gt;$E$115), (VINMAX-R131)*(R127+R131/$E$117), 0)</f>
        <v>0</v>
      </c>
      <c r="S132" s="11">
        <f>IF(AND(S131&lt;VINMAX, S131&gt;$E$115), (VINMAX-S131)*(S127+S131/$E$117), 0)</f>
        <v>0</v>
      </c>
      <c r="T132" s="11">
        <f>IF(AND(T131&lt;VINMAX, T131&gt;$E$115), (VINMAX-T131)*(T127+T131/$E$117), 0)</f>
        <v>0</v>
      </c>
      <c r="U132" s="11">
        <f>IF(AND(U131&lt;VINMAX, U131&gt;$E$115), (VINMAX-U131)*(U127+U131/$E$117), 0)</f>
        <v>0</v>
      </c>
      <c r="V132" s="11">
        <f>IF(AND(V131&lt;VINMAX, V131&gt;$E$115), (VINMAX-V131)*(V127+V131/$E$117), 0)</f>
        <v>0</v>
      </c>
      <c r="W132" s="11">
        <f>IF(AND(W131&lt;VINMAX, W131&gt;$E$115), (VINMAX-W131)*(W127+W131/$E$117), 0)</f>
        <v>0</v>
      </c>
      <c r="X132" s="11">
        <f>IF(AND(X131&lt;VINMAX, X131&gt;$E$115), (VINMAX-X131)*(X127+X131/$E$117), 0)</f>
        <v>0</v>
      </c>
      <c r="Y132" s="11"/>
    </row>
    <row r="133" ht="12.0" customHeight="1">
      <c r="D133" s="11"/>
      <c r="E133" s="11"/>
      <c r="F133" s="11"/>
      <c r="G133" s="11"/>
      <c r="H133" s="11"/>
      <c r="I133" s="11"/>
      <c r="J133" s="11"/>
      <c r="K133" s="11"/>
      <c r="L133" s="11"/>
      <c r="M133" s="11"/>
      <c r="N133" s="11"/>
      <c r="O133" s="11"/>
      <c r="P133" s="11"/>
      <c r="Q133" s="11"/>
      <c r="R133" s="11"/>
      <c r="S133" s="11"/>
      <c r="T133" s="11"/>
      <c r="U133" s="11"/>
      <c r="V133" s="11"/>
      <c r="W133" s="11"/>
      <c r="X133" s="11"/>
      <c r="Y133" s="11"/>
    </row>
    <row r="134" ht="12.0" customHeight="1">
      <c r="D134" s="11" t="s">
        <v>882</v>
      </c>
      <c r="E134" s="11">
        <f t="shared" ref="E134:X134" si="32">MAX(E129,E130,E132)</f>
        <v>1086</v>
      </c>
      <c r="F134" s="11">
        <f t="shared" si="32"/>
        <v>853.540768</v>
      </c>
      <c r="G134" s="11">
        <f t="shared" si="32"/>
        <v>671.116068</v>
      </c>
      <c r="H134" s="11">
        <f t="shared" si="32"/>
        <v>527.9564658</v>
      </c>
      <c r="I134" s="11">
        <f t="shared" si="32"/>
        <v>415.6105406</v>
      </c>
      <c r="J134" s="11">
        <f t="shared" si="32"/>
        <v>327.4459557</v>
      </c>
      <c r="K134" s="11">
        <f t="shared" si="32"/>
        <v>258.2579187</v>
      </c>
      <c r="L134" s="11">
        <f t="shared" si="32"/>
        <v>203.9619168</v>
      </c>
      <c r="M134" s="11">
        <f t="shared" si="32"/>
        <v>161.3525879</v>
      </c>
      <c r="N134" s="11">
        <f t="shared" si="32"/>
        <v>127.9144923</v>
      </c>
      <c r="O134" s="11">
        <f t="shared" si="32"/>
        <v>101.6736134</v>
      </c>
      <c r="P134" s="11">
        <f t="shared" si="32"/>
        <v>81.08082199</v>
      </c>
      <c r="Q134" s="11">
        <f t="shared" si="32"/>
        <v>64.92042364</v>
      </c>
      <c r="R134" s="11">
        <f t="shared" si="32"/>
        <v>52.23838991</v>
      </c>
      <c r="S134" s="11">
        <f t="shared" si="32"/>
        <v>42.28603749</v>
      </c>
      <c r="T134" s="11">
        <f t="shared" si="32"/>
        <v>34.47582971</v>
      </c>
      <c r="U134" s="11">
        <f t="shared" si="32"/>
        <v>28.34669128</v>
      </c>
      <c r="V134" s="11">
        <f t="shared" si="32"/>
        <v>23.53678878</v>
      </c>
      <c r="W134" s="11">
        <f t="shared" si="32"/>
        <v>19.76216985</v>
      </c>
      <c r="X134" s="11">
        <f t="shared" si="32"/>
        <v>16.8</v>
      </c>
      <c r="Y134" s="11"/>
    </row>
    <row r="135" ht="12.0" customHeight="1">
      <c r="D135" s="11" t="s">
        <v>883</v>
      </c>
      <c r="E135" s="289">
        <f t="shared" ref="E135:X135" si="33">E128/E134*1000</f>
        <v>1.249827348</v>
      </c>
      <c r="F135" s="289">
        <f t="shared" si="33"/>
        <v>1.592563808</v>
      </c>
      <c r="G135" s="289">
        <f t="shared" si="33"/>
        <v>2.029267265</v>
      </c>
      <c r="H135" s="289">
        <f t="shared" si="33"/>
        <v>2.585687762</v>
      </c>
      <c r="I135" s="289">
        <f t="shared" si="33"/>
        <v>3.294624115</v>
      </c>
      <c r="J135" s="289">
        <f t="shared" si="33"/>
        <v>4.19784898</v>
      </c>
      <c r="K135" s="289">
        <f t="shared" si="33"/>
        <v>5.348557172</v>
      </c>
      <c r="L135" s="289">
        <f t="shared" si="33"/>
        <v>6.814478207</v>
      </c>
      <c r="M135" s="289">
        <f t="shared" si="33"/>
        <v>8.681831455</v>
      </c>
      <c r="N135" s="289">
        <f t="shared" si="33"/>
        <v>11.06034964</v>
      </c>
      <c r="O135" s="289">
        <f t="shared" si="33"/>
        <v>14.08965634</v>
      </c>
      <c r="P135" s="289">
        <f t="shared" si="33"/>
        <v>17.94735934</v>
      </c>
      <c r="Q135" s="289">
        <f t="shared" si="33"/>
        <v>22.85931963</v>
      </c>
      <c r="R135" s="289">
        <f t="shared" si="33"/>
        <v>29.11268198</v>
      </c>
      <c r="S135" s="289">
        <f t="shared" si="33"/>
        <v>37.07241899</v>
      </c>
      <c r="T135" s="289">
        <f t="shared" si="33"/>
        <v>47.20235841</v>
      </c>
      <c r="U135" s="289">
        <f t="shared" si="33"/>
        <v>60.09195243</v>
      </c>
      <c r="V135" s="289">
        <f t="shared" si="33"/>
        <v>76.49042615</v>
      </c>
      <c r="W135" s="289">
        <f t="shared" si="33"/>
        <v>97.3504298</v>
      </c>
      <c r="X135" s="289">
        <f t="shared" si="33"/>
        <v>123.8839286</v>
      </c>
      <c r="Y135" s="11"/>
    </row>
    <row r="136" ht="12.0" customHeight="1">
      <c r="D136" s="11"/>
      <c r="E136" s="11"/>
      <c r="F136" s="11"/>
      <c r="G136" s="11"/>
      <c r="H136" s="11"/>
      <c r="I136" s="11"/>
      <c r="J136" s="11"/>
      <c r="K136" s="11"/>
      <c r="L136" s="11"/>
      <c r="M136" s="11"/>
      <c r="N136" s="11"/>
      <c r="O136" s="11"/>
      <c r="P136" s="11"/>
      <c r="Q136" s="11"/>
      <c r="R136" s="11"/>
      <c r="S136" s="11"/>
      <c r="T136" s="11"/>
      <c r="U136" s="11"/>
      <c r="V136" s="11"/>
      <c r="W136" s="11"/>
      <c r="X136" s="11"/>
      <c r="Y136" s="11"/>
    </row>
    <row r="137" ht="12.0" customHeight="1">
      <c r="D137" s="11" t="s">
        <v>634</v>
      </c>
      <c r="E137" s="11">
        <f t="shared" ref="E137:X137" si="34">IF(E135&lt;$J$113,$J$114,IF(E135&lt;$K$113,$K$114,IF(E135&lt;$L$113,$L$114,$M$114)))</f>
        <v>15</v>
      </c>
      <c r="F137" s="11">
        <f t="shared" si="34"/>
        <v>15</v>
      </c>
      <c r="G137" s="11">
        <f t="shared" si="34"/>
        <v>15</v>
      </c>
      <c r="H137" s="11">
        <f t="shared" si="34"/>
        <v>15</v>
      </c>
      <c r="I137" s="11">
        <f t="shared" si="34"/>
        <v>15</v>
      </c>
      <c r="J137" s="11">
        <f t="shared" si="34"/>
        <v>15</v>
      </c>
      <c r="K137" s="11">
        <f t="shared" si="34"/>
        <v>15</v>
      </c>
      <c r="L137" s="11">
        <f t="shared" si="34"/>
        <v>15</v>
      </c>
      <c r="M137" s="11">
        <f t="shared" si="34"/>
        <v>15</v>
      </c>
      <c r="N137" s="11">
        <f t="shared" si="34"/>
        <v>13.84615385</v>
      </c>
      <c r="O137" s="11">
        <f t="shared" si="34"/>
        <v>13.84615385</v>
      </c>
      <c r="P137" s="11">
        <f t="shared" si="34"/>
        <v>13.84615385</v>
      </c>
      <c r="Q137" s="11">
        <f t="shared" si="34"/>
        <v>13.84615385</v>
      </c>
      <c r="R137" s="11">
        <f t="shared" si="34"/>
        <v>13.84615385</v>
      </c>
      <c r="S137" s="11">
        <f t="shared" si="34"/>
        <v>13.84615385</v>
      </c>
      <c r="T137" s="11">
        <f t="shared" si="34"/>
        <v>13.84615385</v>
      </c>
      <c r="U137" s="11">
        <f t="shared" si="34"/>
        <v>13.84615385</v>
      </c>
      <c r="V137" s="11">
        <f t="shared" si="34"/>
        <v>13.84615385</v>
      </c>
      <c r="W137" s="11">
        <f t="shared" si="34"/>
        <v>13.84615385</v>
      </c>
      <c r="X137" s="11">
        <f t="shared" si="34"/>
        <v>13.84615385</v>
      </c>
      <c r="Y137" s="11"/>
    </row>
    <row r="138" ht="12.0" customHeight="1">
      <c r="D138" s="11" t="s">
        <v>635</v>
      </c>
      <c r="E138" s="143">
        <f t="shared" ref="E138:X138" si="35">IF(E135&lt;$J$113,$J$115,IF(E135&lt;$K$113,$K$115,IF(E135&lt;$L$113,$L$115,$M$115)))</f>
        <v>-0.6989700043</v>
      </c>
      <c r="F138" s="143">
        <f t="shared" si="35"/>
        <v>-0.6989700043</v>
      </c>
      <c r="G138" s="143">
        <f t="shared" si="35"/>
        <v>-0.6989700043</v>
      </c>
      <c r="H138" s="143">
        <f t="shared" si="35"/>
        <v>-0.6989700043</v>
      </c>
      <c r="I138" s="143">
        <f t="shared" si="35"/>
        <v>-0.6989700043</v>
      </c>
      <c r="J138" s="143">
        <f t="shared" si="35"/>
        <v>-0.6989700043</v>
      </c>
      <c r="K138" s="143">
        <f t="shared" si="35"/>
        <v>-0.6989700043</v>
      </c>
      <c r="L138" s="143">
        <f t="shared" si="35"/>
        <v>-0.6989700043</v>
      </c>
      <c r="M138" s="143">
        <f t="shared" si="35"/>
        <v>-0.6989700043</v>
      </c>
      <c r="N138" s="143">
        <f t="shared" si="35"/>
        <v>-0.6642078981</v>
      </c>
      <c r="O138" s="143">
        <f t="shared" si="35"/>
        <v>-0.6642078981</v>
      </c>
      <c r="P138" s="143">
        <f t="shared" si="35"/>
        <v>-0.6642078981</v>
      </c>
      <c r="Q138" s="143">
        <f t="shared" si="35"/>
        <v>-0.6642078981</v>
      </c>
      <c r="R138" s="143">
        <f t="shared" si="35"/>
        <v>-0.6642078981</v>
      </c>
      <c r="S138" s="143">
        <f t="shared" si="35"/>
        <v>-0.6642078981</v>
      </c>
      <c r="T138" s="143">
        <f t="shared" si="35"/>
        <v>-0.6642078981</v>
      </c>
      <c r="U138" s="143">
        <f t="shared" si="35"/>
        <v>-0.6642078981</v>
      </c>
      <c r="V138" s="143">
        <f t="shared" si="35"/>
        <v>-0.6642078981</v>
      </c>
      <c r="W138" s="143">
        <f t="shared" si="35"/>
        <v>-0.6642078981</v>
      </c>
      <c r="X138" s="143">
        <f t="shared" si="35"/>
        <v>-0.6642078981</v>
      </c>
      <c r="Y138" s="11"/>
    </row>
    <row r="139" ht="12.0" customHeight="1">
      <c r="D139" s="11"/>
      <c r="E139" s="11"/>
      <c r="F139" s="11"/>
      <c r="G139" s="11"/>
      <c r="H139" s="11"/>
      <c r="I139" s="11"/>
      <c r="J139" s="11"/>
      <c r="K139" s="11"/>
      <c r="L139" s="11"/>
      <c r="M139" s="11"/>
      <c r="N139" s="11"/>
      <c r="O139" s="11"/>
      <c r="P139" s="11"/>
      <c r="Q139" s="11"/>
      <c r="R139" s="11"/>
      <c r="S139" s="11"/>
      <c r="T139" s="11"/>
      <c r="U139" s="11"/>
      <c r="V139" s="11"/>
      <c r="W139" s="11"/>
      <c r="X139" s="11"/>
      <c r="Y139" s="11"/>
    </row>
    <row r="140" ht="12.0" customHeight="1">
      <c r="D140" s="11" t="s">
        <v>884</v>
      </c>
      <c r="E140" s="11">
        <f>E137*E135^E138*VINMAX</f>
        <v>385.0501106</v>
      </c>
      <c r="F140" s="11">
        <f>F137*F135^F138*VINMAX</f>
        <v>325.0520305</v>
      </c>
      <c r="G140" s="11">
        <f>G137*G135^G138*VINMAX</f>
        <v>274.4047325</v>
      </c>
      <c r="H140" s="11">
        <f>H137*H135^H138*VINMAX</f>
        <v>231.6510161</v>
      </c>
      <c r="I140" s="11">
        <f>I137*I135^I138*VINMAX</f>
        <v>195.5607709</v>
      </c>
      <c r="J140" s="11">
        <f>J137*J135^J138*VINMAX</f>
        <v>165.0955857</v>
      </c>
      <c r="K140" s="11">
        <f>K137*K135^K138*VINMAX</f>
        <v>139.3788717</v>
      </c>
      <c r="L140" s="11">
        <f>L137*L135^L138*VINMAX</f>
        <v>117.6706414</v>
      </c>
      <c r="M140" s="11">
        <f>M137*M135^M138*VINMAX</f>
        <v>99.34621697</v>
      </c>
      <c r="N140" s="11">
        <f>N137*N135^N138*VINMAX</f>
        <v>84.17262853</v>
      </c>
      <c r="O140" s="11">
        <f>O137*O135^O138*VINMAX</f>
        <v>71.67070682</v>
      </c>
      <c r="P140" s="11">
        <f>P137*P135^P138*VINMAX</f>
        <v>61.02858948</v>
      </c>
      <c r="Q140" s="11">
        <f>Q137*Q135^Q138*VINMAX</f>
        <v>51.96965449</v>
      </c>
      <c r="R140" s="11">
        <f>R137*R135^R138*VINMAX</f>
        <v>44.25837213</v>
      </c>
      <c r="S140" s="11">
        <f>S137*S135^S138*VINMAX</f>
        <v>37.69418787</v>
      </c>
      <c r="T140" s="11">
        <f>T137*T135^T138*VINMAX</f>
        <v>32.10631765</v>
      </c>
      <c r="U140" s="11">
        <f>U137*U135^U138*VINMAX</f>
        <v>27.34932184</v>
      </c>
      <c r="V140" s="11">
        <f>V137*V135^V138*VINMAX</f>
        <v>23.29934476</v>
      </c>
      <c r="W140" s="11">
        <f>W137*W135^W138*VINMAX</f>
        <v>19.85092224</v>
      </c>
      <c r="X140" s="11">
        <f>X137*X135^X138*VINMAX</f>
        <v>16.91427293</v>
      </c>
      <c r="Y140" s="11"/>
    </row>
    <row r="141" ht="12.0" customHeight="1">
      <c r="D141" s="11" t="s">
        <v>885</v>
      </c>
      <c r="E141" s="11">
        <f t="shared" ref="E141:X141" si="36">E140*($J$108-$E$109)/($J$108 - 25)</f>
        <v>231.0300664</v>
      </c>
      <c r="F141" s="11">
        <f t="shared" si="36"/>
        <v>195.0312183</v>
      </c>
      <c r="G141" s="11">
        <f t="shared" si="36"/>
        <v>164.6428395</v>
      </c>
      <c r="H141" s="11">
        <f t="shared" si="36"/>
        <v>138.9906096</v>
      </c>
      <c r="I141" s="11">
        <f t="shared" si="36"/>
        <v>117.3364625</v>
      </c>
      <c r="J141" s="11">
        <f t="shared" si="36"/>
        <v>99.05735141</v>
      </c>
      <c r="K141" s="11">
        <f t="shared" si="36"/>
        <v>83.62732305</v>
      </c>
      <c r="L141" s="11">
        <f t="shared" si="36"/>
        <v>70.60238487</v>
      </c>
      <c r="M141" s="11">
        <f t="shared" si="36"/>
        <v>59.60773018</v>
      </c>
      <c r="N141" s="11">
        <f t="shared" si="36"/>
        <v>50.50357712</v>
      </c>
      <c r="O141" s="11">
        <f t="shared" si="36"/>
        <v>43.00242409</v>
      </c>
      <c r="P141" s="11">
        <f t="shared" si="36"/>
        <v>36.61715369</v>
      </c>
      <c r="Q141" s="11">
        <f t="shared" si="36"/>
        <v>31.1817927</v>
      </c>
      <c r="R141" s="11">
        <f t="shared" si="36"/>
        <v>26.55502328</v>
      </c>
      <c r="S141" s="11">
        <f t="shared" si="36"/>
        <v>22.61651272</v>
      </c>
      <c r="T141" s="11">
        <f t="shared" si="36"/>
        <v>19.26379059</v>
      </c>
      <c r="U141" s="11">
        <f t="shared" si="36"/>
        <v>16.40959311</v>
      </c>
      <c r="V141" s="11">
        <f t="shared" si="36"/>
        <v>13.97960686</v>
      </c>
      <c r="W141" s="11">
        <f t="shared" si="36"/>
        <v>11.91055334</v>
      </c>
      <c r="X141" s="11">
        <f t="shared" si="36"/>
        <v>10.14856376</v>
      </c>
      <c r="Y141" s="11"/>
    </row>
    <row r="142" ht="12.0" customHeight="1">
      <c r="D142" s="11" t="s">
        <v>144</v>
      </c>
      <c r="E142" s="11">
        <f t="shared" ref="E142:X142" si="37">E141/E134</f>
        <v>0.2127348677</v>
      </c>
      <c r="F142" s="11">
        <f t="shared" si="37"/>
        <v>0.2284966643</v>
      </c>
      <c r="G142" s="11">
        <f t="shared" si="37"/>
        <v>0.2453269224</v>
      </c>
      <c r="H142" s="11">
        <f t="shared" si="37"/>
        <v>0.2632614972</v>
      </c>
      <c r="I142" s="11">
        <f t="shared" si="37"/>
        <v>0.2823231152</v>
      </c>
      <c r="J142" s="11">
        <f t="shared" si="37"/>
        <v>0.3025151164</v>
      </c>
      <c r="K142" s="11">
        <f t="shared" si="37"/>
        <v>0.3238131999</v>
      </c>
      <c r="L142" s="11">
        <f t="shared" si="37"/>
        <v>0.3461547429</v>
      </c>
      <c r="M142" s="11">
        <f t="shared" si="37"/>
        <v>0.3694253122</v>
      </c>
      <c r="N142" s="11">
        <f t="shared" si="37"/>
        <v>0.3948229494</v>
      </c>
      <c r="O142" s="11">
        <f t="shared" si="37"/>
        <v>0.4229457641</v>
      </c>
      <c r="P142" s="11">
        <f t="shared" si="37"/>
        <v>0.4516130053</v>
      </c>
      <c r="Q142" s="11">
        <f t="shared" si="37"/>
        <v>0.4803079054</v>
      </c>
      <c r="R142" s="11">
        <f t="shared" si="37"/>
        <v>0.5083430658</v>
      </c>
      <c r="S142" s="11">
        <f t="shared" si="37"/>
        <v>0.534845875</v>
      </c>
      <c r="T142" s="11">
        <f t="shared" si="37"/>
        <v>0.5587622039</v>
      </c>
      <c r="U142" s="11">
        <f t="shared" si="37"/>
        <v>0.5788891884</v>
      </c>
      <c r="V142" s="11">
        <f t="shared" si="37"/>
        <v>0.5939470752</v>
      </c>
      <c r="W142" s="11">
        <f t="shared" si="37"/>
        <v>0.6026946147</v>
      </c>
      <c r="X142" s="11">
        <f t="shared" si="37"/>
        <v>0.6040811762</v>
      </c>
      <c r="Y142" s="11"/>
    </row>
    <row r="143" ht="12.0" customHeight="1">
      <c r="D143" s="11"/>
      <c r="E143" s="11"/>
      <c r="F143" s="11"/>
      <c r="G143" s="11"/>
      <c r="H143" s="11"/>
      <c r="I143" s="11"/>
      <c r="J143" s="11"/>
      <c r="K143" s="11"/>
      <c r="L143" s="11"/>
      <c r="M143" s="11"/>
      <c r="N143" s="11"/>
      <c r="O143" s="11"/>
      <c r="P143" s="11"/>
      <c r="Q143" s="11"/>
      <c r="R143" s="11"/>
      <c r="S143" s="11"/>
      <c r="T143" s="11"/>
      <c r="U143" s="11"/>
      <c r="V143" s="11"/>
      <c r="W143" s="11"/>
      <c r="X143" s="11"/>
      <c r="Y143" s="11"/>
    </row>
    <row r="144" ht="12.0" customHeight="1">
      <c r="D144" s="11" t="s">
        <v>886</v>
      </c>
      <c r="E144" s="11" t="str">
        <f t="shared" ref="E144:X144" si="38">IF(E142&gt;$E$20, "Y", "N")</f>
        <v>N</v>
      </c>
      <c r="F144" s="11" t="str">
        <f t="shared" si="38"/>
        <v>N</v>
      </c>
      <c r="G144" s="11" t="str">
        <f t="shared" si="38"/>
        <v>N</v>
      </c>
      <c r="H144" s="11" t="str">
        <f t="shared" si="38"/>
        <v>N</v>
      </c>
      <c r="I144" s="11" t="str">
        <f t="shared" si="38"/>
        <v>N</v>
      </c>
      <c r="J144" s="11" t="str">
        <f t="shared" si="38"/>
        <v>N</v>
      </c>
      <c r="K144" s="11" t="str">
        <f t="shared" si="38"/>
        <v>N</v>
      </c>
      <c r="L144" s="11" t="str">
        <f t="shared" si="38"/>
        <v>N</v>
      </c>
      <c r="M144" s="11" t="str">
        <f t="shared" si="38"/>
        <v>N</v>
      </c>
      <c r="N144" s="11" t="str">
        <f t="shared" si="38"/>
        <v>N</v>
      </c>
      <c r="O144" s="11" t="str">
        <f t="shared" si="38"/>
        <v>N</v>
      </c>
      <c r="P144" s="11" t="str">
        <f t="shared" si="38"/>
        <v>N</v>
      </c>
      <c r="Q144" s="11" t="str">
        <f t="shared" si="38"/>
        <v>N</v>
      </c>
      <c r="R144" s="11" t="str">
        <f t="shared" si="38"/>
        <v>N</v>
      </c>
      <c r="S144" s="11" t="str">
        <f t="shared" si="38"/>
        <v>N</v>
      </c>
      <c r="T144" s="11" t="str">
        <f t="shared" si="38"/>
        <v>N</v>
      </c>
      <c r="U144" s="11" t="str">
        <f t="shared" si="38"/>
        <v>N</v>
      </c>
      <c r="V144" s="11" t="str">
        <f t="shared" si="38"/>
        <v>N</v>
      </c>
      <c r="W144" s="11" t="str">
        <f t="shared" si="38"/>
        <v>N</v>
      </c>
      <c r="X144" s="11" t="str">
        <f t="shared" si="38"/>
        <v>N</v>
      </c>
      <c r="Y144" s="11" t="s">
        <v>887</v>
      </c>
    </row>
    <row r="145" ht="12.0" customHeight="1">
      <c r="D145" s="11" t="s">
        <v>888</v>
      </c>
      <c r="E145" s="11">
        <f>IF(E144="Y", 1, 0)</f>
        <v>0</v>
      </c>
      <c r="F145" s="11">
        <f t="shared" ref="F145:X145" si="39">IF(AND(F144="Y", E144="N"),  1, 0)</f>
        <v>0</v>
      </c>
      <c r="G145" s="11">
        <f t="shared" si="39"/>
        <v>0</v>
      </c>
      <c r="H145" s="11">
        <f t="shared" si="39"/>
        <v>0</v>
      </c>
      <c r="I145" s="11">
        <f t="shared" si="39"/>
        <v>0</v>
      </c>
      <c r="J145" s="11">
        <f t="shared" si="39"/>
        <v>0</v>
      </c>
      <c r="K145" s="11">
        <f t="shared" si="39"/>
        <v>0</v>
      </c>
      <c r="L145" s="11">
        <f t="shared" si="39"/>
        <v>0</v>
      </c>
      <c r="M145" s="11">
        <f t="shared" si="39"/>
        <v>0</v>
      </c>
      <c r="N145" s="11">
        <f t="shared" si="39"/>
        <v>0</v>
      </c>
      <c r="O145" s="11">
        <f t="shared" si="39"/>
        <v>0</v>
      </c>
      <c r="P145" s="11">
        <f t="shared" si="39"/>
        <v>0</v>
      </c>
      <c r="Q145" s="11">
        <f t="shared" si="39"/>
        <v>0</v>
      </c>
      <c r="R145" s="11">
        <f t="shared" si="39"/>
        <v>0</v>
      </c>
      <c r="S145" s="11">
        <f t="shared" si="39"/>
        <v>0</v>
      </c>
      <c r="T145" s="11">
        <f t="shared" si="39"/>
        <v>0</v>
      </c>
      <c r="U145" s="11">
        <f t="shared" si="39"/>
        <v>0</v>
      </c>
      <c r="V145" s="11">
        <f t="shared" si="39"/>
        <v>0</v>
      </c>
      <c r="W145" s="11">
        <f t="shared" si="39"/>
        <v>0</v>
      </c>
      <c r="X145" s="11">
        <f t="shared" si="39"/>
        <v>0</v>
      </c>
      <c r="Y145" s="11"/>
    </row>
    <row r="146" ht="12.0" customHeight="1">
      <c r="D146" s="11" t="s">
        <v>889</v>
      </c>
      <c r="E146" s="11">
        <v>0.0</v>
      </c>
      <c r="F146" s="11">
        <f t="shared" ref="F146:X146" si="40">IF(AND(F144="Y", G144="N"),  1, 0)</f>
        <v>0</v>
      </c>
      <c r="G146" s="11">
        <f t="shared" si="40"/>
        <v>0</v>
      </c>
      <c r="H146" s="11">
        <f t="shared" si="40"/>
        <v>0</v>
      </c>
      <c r="I146" s="11">
        <f t="shared" si="40"/>
        <v>0</v>
      </c>
      <c r="J146" s="11">
        <f t="shared" si="40"/>
        <v>0</v>
      </c>
      <c r="K146" s="11">
        <f t="shared" si="40"/>
        <v>0</v>
      </c>
      <c r="L146" s="11">
        <f t="shared" si="40"/>
        <v>0</v>
      </c>
      <c r="M146" s="11">
        <f t="shared" si="40"/>
        <v>0</v>
      </c>
      <c r="N146" s="11">
        <f t="shared" si="40"/>
        <v>0</v>
      </c>
      <c r="O146" s="11">
        <f t="shared" si="40"/>
        <v>0</v>
      </c>
      <c r="P146" s="11">
        <f t="shared" si="40"/>
        <v>0</v>
      </c>
      <c r="Q146" s="11">
        <f t="shared" si="40"/>
        <v>0</v>
      </c>
      <c r="R146" s="11">
        <f t="shared" si="40"/>
        <v>0</v>
      </c>
      <c r="S146" s="11">
        <f t="shared" si="40"/>
        <v>0</v>
      </c>
      <c r="T146" s="11">
        <f t="shared" si="40"/>
        <v>0</v>
      </c>
      <c r="U146" s="11">
        <f t="shared" si="40"/>
        <v>0</v>
      </c>
      <c r="V146" s="11">
        <f t="shared" si="40"/>
        <v>0</v>
      </c>
      <c r="W146" s="11">
        <f t="shared" si="40"/>
        <v>0</v>
      </c>
      <c r="X146" s="11">
        <f t="shared" si="40"/>
        <v>0</v>
      </c>
      <c r="Y146" s="11"/>
    </row>
    <row r="147" ht="12.0" customHeight="1">
      <c r="D147" s="11"/>
      <c r="E147" s="11"/>
      <c r="F147" s="11"/>
      <c r="G147" s="11"/>
      <c r="H147" s="11"/>
      <c r="I147" s="11"/>
      <c r="J147" s="11"/>
      <c r="K147" s="11"/>
      <c r="L147" s="11"/>
      <c r="M147" s="11"/>
      <c r="N147" s="11"/>
      <c r="O147" s="11"/>
      <c r="P147" s="11"/>
      <c r="Q147" s="11"/>
      <c r="R147" s="11"/>
      <c r="S147" s="11"/>
      <c r="T147" s="11"/>
      <c r="U147" s="11"/>
      <c r="V147" s="11"/>
      <c r="W147" s="11"/>
      <c r="X147" s="11"/>
      <c r="Y147" s="11"/>
    </row>
    <row r="148" ht="12.0" customHeight="1">
      <c r="D148" s="11" t="s">
        <v>890</v>
      </c>
      <c r="E148" s="11">
        <f t="shared" ref="E148:X148" si="41">E145*E125</f>
        <v>0</v>
      </c>
      <c r="F148" s="11">
        <f t="shared" si="41"/>
        <v>0</v>
      </c>
      <c r="G148" s="11">
        <f t="shared" si="41"/>
        <v>0</v>
      </c>
      <c r="H148" s="11">
        <f t="shared" si="41"/>
        <v>0</v>
      </c>
      <c r="I148" s="11">
        <f t="shared" si="41"/>
        <v>0</v>
      </c>
      <c r="J148" s="11">
        <f t="shared" si="41"/>
        <v>0</v>
      </c>
      <c r="K148" s="11">
        <f t="shared" si="41"/>
        <v>0</v>
      </c>
      <c r="L148" s="11">
        <f t="shared" si="41"/>
        <v>0</v>
      </c>
      <c r="M148" s="11">
        <f t="shared" si="41"/>
        <v>0</v>
      </c>
      <c r="N148" s="11">
        <f t="shared" si="41"/>
        <v>0</v>
      </c>
      <c r="O148" s="11">
        <f t="shared" si="41"/>
        <v>0</v>
      </c>
      <c r="P148" s="11">
        <f t="shared" si="41"/>
        <v>0</v>
      </c>
      <c r="Q148" s="11">
        <f t="shared" si="41"/>
        <v>0</v>
      </c>
      <c r="R148" s="11">
        <f t="shared" si="41"/>
        <v>0</v>
      </c>
      <c r="S148" s="11">
        <f t="shared" si="41"/>
        <v>0</v>
      </c>
      <c r="T148" s="11">
        <f t="shared" si="41"/>
        <v>0</v>
      </c>
      <c r="U148" s="11">
        <f t="shared" si="41"/>
        <v>0</v>
      </c>
      <c r="V148" s="11">
        <f t="shared" si="41"/>
        <v>0</v>
      </c>
      <c r="W148" s="11">
        <f t="shared" si="41"/>
        <v>0</v>
      </c>
      <c r="X148" s="11">
        <f t="shared" si="41"/>
        <v>0</v>
      </c>
      <c r="Y148" s="11"/>
    </row>
    <row r="149" ht="12.0" customHeight="1">
      <c r="D149" s="11" t="s">
        <v>891</v>
      </c>
      <c r="E149" s="11">
        <f t="shared" ref="E149:X149" si="42">E125*E146</f>
        <v>0</v>
      </c>
      <c r="F149" s="11">
        <f t="shared" si="42"/>
        <v>0</v>
      </c>
      <c r="G149" s="11">
        <f t="shared" si="42"/>
        <v>0</v>
      </c>
      <c r="H149" s="11">
        <f t="shared" si="42"/>
        <v>0</v>
      </c>
      <c r="I149" s="11">
        <f t="shared" si="42"/>
        <v>0</v>
      </c>
      <c r="J149" s="11">
        <f t="shared" si="42"/>
        <v>0</v>
      </c>
      <c r="K149" s="11">
        <f t="shared" si="42"/>
        <v>0</v>
      </c>
      <c r="L149" s="11">
        <f t="shared" si="42"/>
        <v>0</v>
      </c>
      <c r="M149" s="11">
        <f t="shared" si="42"/>
        <v>0</v>
      </c>
      <c r="N149" s="11">
        <f t="shared" si="42"/>
        <v>0</v>
      </c>
      <c r="O149" s="11">
        <f t="shared" si="42"/>
        <v>0</v>
      </c>
      <c r="P149" s="11">
        <f t="shared" si="42"/>
        <v>0</v>
      </c>
      <c r="Q149" s="11">
        <f t="shared" si="42"/>
        <v>0</v>
      </c>
      <c r="R149" s="11">
        <f t="shared" si="42"/>
        <v>0</v>
      </c>
      <c r="S149" s="11">
        <f t="shared" si="42"/>
        <v>0</v>
      </c>
      <c r="T149" s="11">
        <f t="shared" si="42"/>
        <v>0</v>
      </c>
      <c r="U149" s="11">
        <f t="shared" si="42"/>
        <v>0</v>
      </c>
      <c r="V149" s="11">
        <f t="shared" si="42"/>
        <v>0</v>
      </c>
      <c r="W149" s="11">
        <f t="shared" si="42"/>
        <v>0</v>
      </c>
      <c r="X149" s="11">
        <f t="shared" si="42"/>
        <v>0</v>
      </c>
      <c r="Y149" s="11"/>
    </row>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orientation="portrait"/>
  <drawing r:id="rId1"/>
</worksheet>
</file>