
<file path=[Content_Types].xml><?xml version="1.0" encoding="utf-8"?>
<Types xmlns="http://schemas.openxmlformats.org/package/2006/content-types">
  <Default ContentType="image/jpeg" Extension="jpg"/>
  <Default ContentType="application/vnd.openxmlformats-officedocument.vmlDrawing" Extension="vml"/>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sign Calculator" sheetId="2" r:id="rId5"/>
    <sheet state="hidden" name="Device Parameters" sheetId="3" r:id="rId6"/>
    <sheet state="hidden" name="Equations" sheetId="4" r:id="rId7"/>
    <sheet state="hidden" name="Start_up" sheetId="5" r:id="rId8"/>
    <sheet state="hidden" name="SOA" sheetId="6" r:id="rId9"/>
    <sheet state="hidden" name="dv_dt_recommendations" sheetId="7" r:id="rId10"/>
  </sheets>
  <definedNames>
    <definedName name="TJ">'Design Calculator'!$F$62</definedName>
    <definedName name="ThetaJA">'Design Calculator'!$F$52</definedName>
    <definedName name="PLIMMAX">#REF!</definedName>
    <definedName name="NUMFETS">'Design Calculator'!$F$53</definedName>
    <definedName name="CLMAX">Equations!$F$26</definedName>
    <definedName name="CLNOM_Threshold">Equations!$E$16</definedName>
    <definedName name="IOUTMAX">'Design Calculator'!$F$30</definedName>
    <definedName name="TINSERT">'Design Calculator'!$F$92</definedName>
    <definedName name="TSTARTMIN">Equations!$F$93</definedName>
    <definedName name="RDIV2">'Design Calculator'!$F$43</definedName>
    <definedName name="TSTARTMAX">Equations!$F$95</definedName>
    <definedName name="COUTMAX">'Design Calculator'!$F$31</definedName>
    <definedName name="TINSERTMIN">Equations!$F$106</definedName>
    <definedName name="PLIMNOM">#REF!</definedName>
    <definedName name="I_Cout_ss">Equations!$F$65</definedName>
    <definedName name="RsMAX">'Design Calculator'!$F$37</definedName>
    <definedName name="CLMAX_Threshold">Equations!$E$17</definedName>
    <definedName name="CLNOM">Equations!$F$25</definedName>
    <definedName name="TAMB">'Design Calculator'!$F$32</definedName>
    <definedName name="FETPDISS">'Design Calculator'!$F$61</definedName>
    <definedName name="CLMIN_Threshold">Equations!$E$15</definedName>
    <definedName name="ss_rate">Equations!$F$61</definedName>
    <definedName name="PLIMMIN">#REF!</definedName>
    <definedName name="TJMAX">'Design Calculator'!$AN$55</definedName>
    <definedName name="CLMIN">Equations!$F$24</definedName>
    <definedName name="RPWR">'Design Calculator'!$F$66</definedName>
    <definedName localSheetId="5" name="solver_adj">#REF!</definedName>
    <definedName name="VINMIN">'Design Calculator'!$F$27</definedName>
    <definedName name="TSTARTNOM">Equations!$F$94</definedName>
    <definedName name="Rs">'Design Calculator'!$F$39</definedName>
    <definedName name="VINMAX">'Design Calculator'!$F$29</definedName>
    <definedName name="yesno">'Design Calculator'!$AR$15:$AR$16</definedName>
    <definedName name="CTIMER">#REF!</definedName>
    <definedName name="VINNOM">'Design Calculator'!$F$28</definedName>
    <definedName name="Tfaultmax">#REF!</definedName>
    <definedName localSheetId="5" name="solver_opt">#REF!</definedName>
    <definedName name="RsEFF">Equations!$F$23</definedName>
    <definedName name="Tfault">'Design Calculator'!$F$77</definedName>
    <definedName name="RDSON">'Design Calculator'!$AN$54</definedName>
    <definedName name="TINSERTMAX">Equations!$F$108</definedName>
    <definedName name="MaxFETPW">#REF!</definedName>
    <definedName name="RDIV1">'Design Calculator'!$F$42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27">
      <text>
        <t xml:space="preserve">The minimum system voltage must be no less than 10V.</t>
      </text>
    </comment>
    <comment authorId="0" ref="F29">
      <text>
        <t xml:space="preserve">The maximum system voltage must be no greater than 80V.</t>
      </text>
    </comment>
    <comment authorId="0" ref="F31">
      <text>
        <t xml:space="preserve">This is the capacitance at Vout. This should not be zero. A minimum of 10 μF is recommended.</t>
      </text>
    </comment>
    <comment authorId="0" ref="F38">
      <text>
        <t xml:space="preserve">Using an External Resistor allows the user to fine tune the current limit for a given standard resistor. 
It will add error to the power limit, current limit, and telemetry (1% resistors) and should be avoided if possible. 
</t>
      </text>
    </comment>
    <comment authorId="0" ref="F39">
      <text>
        <t xml:space="preserve">When using an external resistor divider, Rs must be larger than the targeted Rs,eff.  Pick the next larger available Rs.  
When not using an external resistor divider, pick the next smallest available sense resistor. </t>
      </text>
    </comment>
    <comment authorId="0" ref="F40">
      <text>
        <t xml:space="preserve">Cell turns Red if 
When using an external resistor divider, Rs must be larger than the targeted Rs,eff.  Pick the next larger available Rs.  
</t>
      </text>
    </comment>
    <comment authorId="0" ref="F45">
      <text>
        <t xml:space="preserve">Ensure that the minimum current limit is above maximum load. </t>
      </text>
    </comment>
    <comment authorId="0" ref="F48">
      <text>
        <t xml:space="preserve">The power dissipation is calculated using the maximum normal load current.
Ensure the selected resistor is rated for this power dissipation.</t>
      </text>
    </comment>
    <comment authorId="0" ref="F52">
      <text>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text>
    </comment>
    <comment authorId="0" ref="F62">
      <text>
        <t xml:space="preserve">If FET temperature is too high, increase the # of FETs, reduce the load, or reduce the RθJA by adding more heat sinking to MOSFETs. 
</t>
      </text>
    </comment>
    <comment authorId="0" ref="F64">
      <text>
        <t xml:space="preserve">Usually this can be set to PLIM,MIN.  If a load is present during start-up a higher Plim, may be preferred. 
</t>
      </text>
    </comment>
    <comment authorId="0" ref="I66">
      <text>
        <t xml:space="preserve">3 Parameters:
Step 1: Max Ambient Operating Temperature 
Step 3: Estimated MOSFET RQJA
Step 3: FET Power Dissipation at full load 
**This includes air flow</t>
      </text>
    </comment>
    <comment authorId="0" ref="F67">
      <text>
        <t xml:space="preserve">Cell turns Red if the actual power limit is below Minimum Power Limit (cell F47)
</t>
      </text>
    </comment>
    <comment authorId="0" ref="F69">
      <text>
        <t xml:space="preserve">Select if the load will draw current during start-up. 
For no Load, choose constant current and set to zero</t>
      </text>
    </comment>
    <comment authorId="0" ref="F71">
      <text>
        <t xml:space="preserve">Yes or No.  Default is No.  However, DV/DT control can be useful in high current applications or applications were COUT is large.
If SOA margin is poor with a PLIM start-up, switching to a soft start can alleviate this problem.</t>
      </text>
    </comment>
    <comment authorId="0" ref="F73">
      <text>
        <t xml:space="preserve">If IFET - ILOAD margin is too low, there may be start-up issues due to variation in power limit or load profile.  A margin &gt; 25% is recommended. 
If margin is &lt; 25%, the power limit should be increased or the load should be kept completely OFF during start-up. 
</t>
      </text>
    </comment>
    <comment authorId="0" ref="F74">
      <text>
        <t xml:space="preserve">To ensure start-up the fault time out must be longer than the start-up time. It is recommended to choose a fault timer that is larger than the typical start-time to account for variations in Plim, timer current, and timer capacitance. </t>
      </text>
    </comment>
    <comment authorId="0" ref="F76">
      <text>
        <t xml:space="preserve">Pick closest capacitor that is larger than the Target capacitance
</t>
      </text>
    </comment>
    <comment authorId="0" ref="F78">
      <text>
        <t xml:space="preserve">A ratio over 1.1 is required and over 1.3 is preferred.  This will account for variation in Power limit and timer
If the margin is poor with a PLIM based start-up, switch to soft start (cell F55)</t>
      </text>
    </comment>
    <comment authorId="0" ref="F79">
      <text>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text>
    </comment>
    <comment authorId="0" ref="F80">
      <text>
        <t xml:space="preserve">If these cells are red, there is no suitable slew rate for keeping FET whithin SOA. 
Reduce load at start-up or pick FET with better SOA. </t>
      </text>
    </comment>
    <comment authorId="0" ref="F81">
      <text>
        <t xml:space="preserve">If these cells are red, there is no suitable slew rate for keeping FET whithin SOA. 
Reduce load at start-up or pick FET with better SOA. 
</t>
      </text>
    </comment>
    <comment authorId="0" ref="F82">
      <text>
        <t xml:space="preserve">Ensure that this is lower than max ss slew rate in the cell above
</t>
      </text>
    </comment>
    <comment authorId="0" ref="F85">
      <text>
        <t xml:space="preserve">Ensure that this is lower than max ss slew rate.</t>
      </text>
    </comment>
    <comment authorId="0" ref="F86">
      <text>
        <t xml:space="preserve">A margin of &gt;1.1 is required and a margin of &gt;1.5 is recommended to accout for the variation in the gate current. 
Reduce dv/dt rate to reduce inrush current and increase SOA margin</t>
      </text>
    </comment>
    <comment authorId="0" ref="F91">
      <text>
        <t xml:space="preserve">A margin of &gt;1.1 is required and a margin of &gt;1.3 is recommended to accout for the variation in the power limit and timer. 
Reduce Tfault to improve SOA margin. 
</t>
      </text>
    </comment>
    <comment authorId="0" ref="F93">
      <text>
        <t xml:space="preserve">This calculation applies only when the RETRY option is selected.</t>
      </text>
    </comment>
    <comment authorId="0" ref="F94">
      <text>
        <t xml:space="preserve">See the schematics above to select the appropriate option for setting the input voltage UVLO and OVLO thresholds.</t>
      </text>
    </comment>
    <comment authorId="0" ref="F95">
      <text>
        <t xml:space="preserve">This threshold must be between 10V and 80V.</t>
      </text>
    </comment>
    <comment authorId="0" ref="F96">
      <text>
        <t xml:space="preserve">This threshold must be greater than 10V, and less than the upper UVLO threshold.</t>
      </text>
    </comment>
    <comment authorId="0" ref="F97">
      <text>
        <t xml:space="preserve">This threshold must be greater than the upper UVLO Threshold, and less than 80V.</t>
      </text>
    </comment>
    <comment authorId="0" ref="F136">
      <text>
        <t xml:space="preserve">TI recomends the SMDJxx TVS.
Pick the proper value based on the input voltage. 
</t>
      </text>
    </comment>
  </commentList>
</comments>
</file>

<file path=xl/sharedStrings.xml><?xml version="1.0" encoding="utf-8"?>
<sst xmlns="http://schemas.openxmlformats.org/spreadsheetml/2006/main" count="723" uniqueCount="517">
  <si>
    <t>© 2014</t>
  </si>
  <si>
    <t>LM5069 Design Tool- Rev. C</t>
  </si>
  <si>
    <t>Typical design procedure</t>
  </si>
  <si>
    <t>Typical applications require multiple passes through the design tool using MOSFET factors such as transient</t>
  </si>
  <si>
    <t>thermal response and safe operating area curves. Refer to the following application reports for more detail.</t>
  </si>
  <si>
    <t>Robust Hot Swap Design</t>
  </si>
  <si>
    <t>LM5069 Datasheet (See "Design-In Procedure")</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</si>
  <si>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</si>
  <si>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</si>
  <si>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</si>
  <si>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</si>
  <si>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</si>
  <si>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</si>
  <si>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</si>
  <si>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</si>
  <si>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</si>
  <si>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</si>
  <si>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</si>
  <si>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</si>
  <si>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</si>
  <si>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</si>
  <si>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rPr>
        <rFont val="Arial"/>
        <color theme="0"/>
        <sz val="24.0"/>
      </rPr>
      <t xml:space="preserve">                         </t>
    </r>
    <r>
      <rPr>
        <rFont val="Arial"/>
        <color theme="0"/>
        <sz val="22.0"/>
      </rPr>
      <t>LM5069 Hot Swap Design Tool</t>
    </r>
  </si>
  <si>
    <t>www.ti.com/hotswap</t>
  </si>
  <si>
    <t>Enter Values in Green Shaded Cells</t>
  </si>
  <si>
    <t>Calculated Values are shown in White Cells</t>
  </si>
  <si>
    <t xml:space="preserve">Yellow and Red cells highlight potential issues with the design. Red highlights items that are higher risk. </t>
  </si>
  <si>
    <t>Step 0: Calculator Tutorials</t>
  </si>
  <si>
    <r>
      <rPr>
        <rFont val="Arial"/>
        <b/>
        <color rgb="FFFF0000"/>
        <sz val="12.0"/>
        <u/>
      </rPr>
      <t>Note</t>
    </r>
    <r>
      <rPr>
        <rFont val="Arial"/>
        <color rgb="FFFF0000"/>
        <sz val="12.0"/>
      </rPr>
      <t>: Before proceeding, please watch the video tutorials listed to ensure accurate results from this tool!</t>
    </r>
  </si>
  <si>
    <t>Yes</t>
  </si>
  <si>
    <t>Steps 1 &amp; 2: Operating Conditions, Current Limit, &amp; Circuit Breaker (7:41)</t>
  </si>
  <si>
    <t>No</t>
  </si>
  <si>
    <t>Step 3: MOSFET Selection (9:58)</t>
  </si>
  <si>
    <t>Step 4: Startup (10:32)</t>
  </si>
  <si>
    <t>Step 5: UVLO, OVLO &amp; PGD Thresholds (4:20)</t>
  </si>
  <si>
    <t>LM5069 Datasheet</t>
  </si>
  <si>
    <r>
      <rPr>
        <rFont val="Arial"/>
        <b/>
        <color theme="1"/>
        <sz val="11.0"/>
      </rPr>
      <t>I understand and agree to watch the video tutorials if help is needed.</t>
    </r>
    <r>
      <rPr>
        <rFont val="Arial"/>
        <color theme="1"/>
        <sz val="11.0"/>
      </rPr>
      <t xml:space="preserve"> </t>
    </r>
    <r>
      <rPr>
        <rFont val="Arial"/>
        <color theme="1"/>
        <sz val="10.0"/>
      </rPr>
      <t>(Choose Yes to enable the calculator.)</t>
    </r>
  </si>
  <si>
    <t xml:space="preserve">Assure to follow the layout and application guidelines listed on the datasheet. </t>
  </si>
  <si>
    <r>
      <rPr>
        <rFont val="Arial"/>
        <color theme="10"/>
        <sz val="10.0"/>
        <u/>
      </rPr>
      <t>*For additional questions not addressed in the videos, please post on</t>
    </r>
    <r>
      <rPr>
        <rFont val="Arial"/>
        <color theme="10"/>
        <sz val="10.0"/>
        <u/>
      </rPr>
      <t xml:space="preserve"> E2E.ti.com</t>
    </r>
  </si>
  <si>
    <t>Step 1: Operating Conditions</t>
  </si>
  <si>
    <r>
      <rPr>
        <rFont val="Arial"/>
        <color theme="1"/>
        <sz val="10.0"/>
      </rPr>
      <t>Minimum Input Operating Voltage: V</t>
    </r>
    <r>
      <rPr>
        <rFont val="Arial"/>
        <color theme="1"/>
        <sz val="10.0"/>
        <vertAlign val="subscript"/>
      </rPr>
      <t>IN(MIN)</t>
    </r>
  </si>
  <si>
    <t>V</t>
  </si>
  <si>
    <r>
      <rPr>
        <rFont val="Arial"/>
        <color theme="1"/>
        <sz val="10.0"/>
      </rPr>
      <t>Nominal Input Operating Voltage: V</t>
    </r>
    <r>
      <rPr>
        <rFont val="Arial"/>
        <color theme="1"/>
        <sz val="10.0"/>
        <vertAlign val="subscript"/>
      </rPr>
      <t>IN(NOM)</t>
    </r>
  </si>
  <si>
    <r>
      <rPr>
        <rFont val="Arial"/>
        <color theme="1"/>
        <sz val="10.0"/>
      </rPr>
      <t>Maximum Input Operating Voltage: V</t>
    </r>
    <r>
      <rPr>
        <rFont val="Arial"/>
        <color theme="1"/>
        <sz val="10.0"/>
        <vertAlign val="subscript"/>
      </rPr>
      <t>IN(MAX)</t>
    </r>
  </si>
  <si>
    <r>
      <rPr>
        <rFont val="Arial"/>
        <color theme="1"/>
        <sz val="10.0"/>
      </rPr>
      <t>Maximum Load Current: I</t>
    </r>
    <r>
      <rPr>
        <rFont val="Arial"/>
        <color theme="1"/>
        <sz val="10.0"/>
        <vertAlign val="subscript"/>
      </rPr>
      <t>OUT(MAX)</t>
    </r>
  </si>
  <si>
    <t>A</t>
  </si>
  <si>
    <r>
      <rPr>
        <rFont val="Arial"/>
        <color theme="1"/>
        <sz val="10.0"/>
      </rPr>
      <t>Maximum Output Load Capacitance: C</t>
    </r>
    <r>
      <rPr>
        <rFont val="Arial"/>
        <color theme="1"/>
        <sz val="10.0"/>
        <vertAlign val="subscript"/>
      </rPr>
      <t>LOAD</t>
    </r>
  </si>
  <si>
    <t>µF</t>
  </si>
  <si>
    <r>
      <rPr>
        <rFont val="Arial"/>
        <color theme="1"/>
        <sz val="10.0"/>
      </rPr>
      <t>Maximum Ambient Operating Temperature: T</t>
    </r>
    <r>
      <rPr>
        <rFont val="Arial"/>
        <color theme="1"/>
        <sz val="10.0"/>
        <vertAlign val="subscript"/>
      </rPr>
      <t>MAX</t>
    </r>
  </si>
  <si>
    <r>
      <rPr>
        <rFont val="Arial"/>
        <color theme="1"/>
        <sz val="10.0"/>
        <vertAlign val="superscript"/>
      </rPr>
      <t>o</t>
    </r>
    <r>
      <rPr>
        <rFont val="Arial"/>
        <color theme="1"/>
        <sz val="10.0"/>
      </rPr>
      <t>C</t>
    </r>
  </si>
  <si>
    <t>Steps 1 &amp; 2: Operating Conditions, Current Limit, &amp; Circuit Breaker</t>
  </si>
  <si>
    <t>Step 2: Current Limit and Circuit Breaker</t>
  </si>
  <si>
    <t>Current Limit Threshold Voltage</t>
  </si>
  <si>
    <t>55 mV</t>
  </si>
  <si>
    <t>Maximum Recommended Value for Effective Sense Resistance</t>
  </si>
  <si>
    <r>
      <rPr>
        <rFont val="Arial"/>
        <color theme="1"/>
        <sz val="10.0"/>
      </rPr>
      <t>m</t>
    </r>
    <r>
      <rPr>
        <rFont val="Symbol"/>
        <color theme="1"/>
        <sz val="10.0"/>
      </rPr>
      <t>W</t>
    </r>
  </si>
  <si>
    <r>
      <rPr>
        <rFont val="Arial"/>
        <color theme="1"/>
        <sz val="10.0"/>
      </rPr>
      <t>Use External Resistor Divider to Reduce Effecitve R</t>
    </r>
    <r>
      <rPr>
        <rFont val="Arial"/>
        <color theme="1"/>
        <sz val="10.0"/>
        <vertAlign val="subscript"/>
      </rPr>
      <t>S</t>
    </r>
  </si>
  <si>
    <r>
      <rPr>
        <rFont val="Arial"/>
        <color theme="1"/>
        <sz val="10.0"/>
      </rPr>
      <t>Enter the Resistance for R</t>
    </r>
    <r>
      <rPr>
        <rFont val="Arial"/>
        <color theme="1"/>
        <sz val="10.0"/>
        <vertAlign val="subscript"/>
      </rPr>
      <t>S</t>
    </r>
  </si>
  <si>
    <r>
      <rPr>
        <rFont val="Arial"/>
        <color theme="1"/>
        <sz val="10.0"/>
      </rPr>
      <t>m</t>
    </r>
    <r>
      <rPr>
        <rFont val="Symbol"/>
        <color theme="1"/>
        <sz val="10.0"/>
      </rPr>
      <t>W</t>
    </r>
  </si>
  <si>
    <t>Recommended Value for RCL1</t>
  </si>
  <si>
    <t>W</t>
  </si>
  <si>
    <t>Recommended Value for RCL2</t>
  </si>
  <si>
    <t>Enter value for RCL1</t>
  </si>
  <si>
    <t>Enter value for RCL2</t>
  </si>
  <si>
    <r>
      <rPr>
        <rFont val="Arial"/>
        <color theme="1"/>
        <sz val="10.0"/>
      </rPr>
      <t>Effective Sense Resistance (R</t>
    </r>
    <r>
      <rPr>
        <rFont val="Arial"/>
        <color theme="1"/>
        <sz val="10.0"/>
        <vertAlign val="subscript"/>
      </rPr>
      <t>S,EFF</t>
    </r>
    <r>
      <rPr>
        <rFont val="Arial"/>
        <color theme="1"/>
        <sz val="10.0"/>
      </rPr>
      <t>)</t>
    </r>
  </si>
  <si>
    <r>
      <rPr>
        <rFont val="Arial"/>
        <color theme="1"/>
        <sz val="10.0"/>
      </rPr>
      <t>m</t>
    </r>
    <r>
      <rPr>
        <rFont val="Symbol"/>
        <color theme="1"/>
        <sz val="10.0"/>
      </rPr>
      <t>W</t>
    </r>
  </si>
  <si>
    <t>Resulting Minimum Current Limit</t>
  </si>
  <si>
    <t>Resulting Typical Current Limit</t>
  </si>
  <si>
    <t>Resulting Maximum Current Limit</t>
  </si>
  <si>
    <t>Retry</t>
  </si>
  <si>
    <r>
      <rPr>
        <rFont val="Arial"/>
        <color theme="1"/>
        <sz val="10.0"/>
      </rPr>
      <t>Maximum Power Dissipation in R</t>
    </r>
    <r>
      <rPr>
        <rFont val="Arial"/>
        <color theme="1"/>
        <sz val="10.0"/>
        <vertAlign val="subscript"/>
      </rPr>
      <t>S</t>
    </r>
  </si>
  <si>
    <t>Latch Off</t>
  </si>
  <si>
    <t>Fault Response</t>
  </si>
  <si>
    <t>1.9 x Current Limit</t>
  </si>
  <si>
    <t>Circuit Breaker to Current Limit Raitio</t>
  </si>
  <si>
    <t>3.9 x Current Limit</t>
  </si>
  <si>
    <t>Step 3: MOSFET Selection</t>
  </si>
  <si>
    <t>Q1 FET Name</t>
  </si>
  <si>
    <t>Vishay SiJ186DP</t>
  </si>
  <si>
    <r>
      <rPr>
        <rFont val="Arial"/>
        <color theme="1"/>
        <sz val="10.0"/>
      </rPr>
      <t>Estimated MOSFET R</t>
    </r>
    <r>
      <rPr>
        <rFont val="Symbol"/>
        <color theme="1"/>
        <sz val="10.0"/>
      </rPr>
      <t>Q</t>
    </r>
    <r>
      <rPr>
        <rFont val="Arial"/>
        <color theme="1"/>
        <sz val="10.0"/>
        <vertAlign val="subscript"/>
      </rPr>
      <t>JA</t>
    </r>
  </si>
  <si>
    <r>
      <rPr>
        <rFont val="Arial"/>
        <color theme="1"/>
        <sz val="10.0"/>
        <vertAlign val="superscript"/>
      </rPr>
      <t>o</t>
    </r>
    <r>
      <rPr>
        <rFont val="Arial"/>
        <color theme="1"/>
        <sz val="10.0"/>
      </rPr>
      <t>C/W</t>
    </r>
  </si>
  <si>
    <t>Number of MosFETs</t>
  </si>
  <si>
    <t>#</t>
  </si>
  <si>
    <t>Values Used</t>
  </si>
  <si>
    <r>
      <rPr>
        <rFont val="Arial"/>
        <color theme="1"/>
        <sz val="10.0"/>
      </rPr>
      <t>MOSFET On resistance @ T</t>
    </r>
    <r>
      <rPr>
        <rFont val="Arial"/>
        <color theme="1"/>
        <sz val="10.0"/>
        <vertAlign val="subscript"/>
      </rPr>
      <t>J,DC</t>
    </r>
  </si>
  <si>
    <r>
      <rPr>
        <rFont val="Arial"/>
        <color theme="1"/>
        <sz val="10.0"/>
      </rPr>
      <t>m</t>
    </r>
    <r>
      <rPr>
        <rFont val="Symbol"/>
        <color theme="1"/>
        <sz val="10.0"/>
      </rPr>
      <t>W</t>
    </r>
  </si>
  <si>
    <t>Maximum FET Junction Temperature</t>
  </si>
  <si>
    <r>
      <rPr>
        <rFont val="Arial"/>
        <color theme="1"/>
        <sz val="10.0"/>
        <vertAlign val="superscript"/>
      </rPr>
      <t>o</t>
    </r>
    <r>
      <rPr>
        <rFont val="Arial"/>
        <color theme="1"/>
        <sz val="10.0"/>
      </rPr>
      <t>C</t>
    </r>
  </si>
  <si>
    <r>
      <rPr>
        <rFont val="Arial"/>
        <color theme="1"/>
        <sz val="10.0"/>
      </rPr>
      <t>100</t>
    </r>
    <r>
      <rPr>
        <rFont val="Symbol"/>
        <color theme="1"/>
        <sz val="10.0"/>
      </rPr>
      <t>m</t>
    </r>
    <r>
      <rPr>
        <rFont val="Arial"/>
        <color theme="1"/>
        <sz val="10.0"/>
      </rPr>
      <t>s SOA Current (re-use 1ms data if unavailable) @ V</t>
    </r>
    <r>
      <rPr>
        <rFont val="Arial"/>
        <color theme="1"/>
        <sz val="10.0"/>
        <vertAlign val="subscript"/>
      </rPr>
      <t>IN(MAX)</t>
    </r>
  </si>
  <si>
    <r>
      <rPr>
        <rFont val="Arial"/>
        <color theme="1"/>
        <sz val="10.0"/>
      </rPr>
      <t>1ms SOA Current @ V</t>
    </r>
    <r>
      <rPr>
        <rFont val="Arial"/>
        <color theme="1"/>
        <sz val="10.0"/>
        <vertAlign val="subscript"/>
      </rPr>
      <t>IN(MAX)</t>
    </r>
  </si>
  <si>
    <r>
      <rPr>
        <rFont val="Arial"/>
        <color theme="1"/>
        <sz val="10.0"/>
      </rPr>
      <t>10ms SOA Current @ V</t>
    </r>
    <r>
      <rPr>
        <rFont val="Arial"/>
        <color theme="1"/>
        <sz val="10.0"/>
        <vertAlign val="subscript"/>
      </rPr>
      <t>IN(MAX)</t>
    </r>
  </si>
  <si>
    <r>
      <rPr>
        <rFont val="Arial"/>
        <color theme="1"/>
        <sz val="10.0"/>
      </rPr>
      <t>100ms  Current at @ V</t>
    </r>
    <r>
      <rPr>
        <rFont val="Arial"/>
        <color theme="1"/>
        <sz val="10.0"/>
        <vertAlign val="subscript"/>
      </rPr>
      <t>IN(MAX)</t>
    </r>
    <r>
      <rPr>
        <rFont val="Arial"/>
        <color theme="1"/>
        <sz val="10.0"/>
      </rPr>
      <t xml:space="preserve"> (enter 'NA' if not available)</t>
    </r>
  </si>
  <si>
    <r>
      <rPr>
        <rFont val="Arial"/>
        <color theme="1"/>
        <sz val="10.0"/>
      </rPr>
      <t>1s or DC SOA Current at @ V</t>
    </r>
    <r>
      <rPr>
        <rFont val="Arial"/>
        <color theme="1"/>
        <sz val="10.0"/>
        <vertAlign val="subscript"/>
      </rPr>
      <t>IN(MAX)</t>
    </r>
    <r>
      <rPr>
        <rFont val="Arial"/>
        <color theme="1"/>
        <sz val="10.0"/>
      </rPr>
      <t xml:space="preserve"> (enter 'NA' if not available)</t>
    </r>
  </si>
  <si>
    <t>Note: TI recommends choosing a FET with SOA current specified for 100ms and/or 1s or DC. If choosing a FET without these parameters, this calculator will estimate the values via extrapolation, which leaves an inherent associated risk.</t>
  </si>
  <si>
    <t>FET Power dissapation at full load (per FET)</t>
  </si>
  <si>
    <r>
      <rPr>
        <rFont val="Arial"/>
        <color theme="1"/>
        <sz val="10.0"/>
      </rPr>
      <t>Maximum steady state FET Junction Temperature (T</t>
    </r>
    <r>
      <rPr>
        <rFont val="Arial"/>
        <color theme="1"/>
        <sz val="10.0"/>
        <vertAlign val="subscript"/>
      </rPr>
      <t>J,DC</t>
    </r>
    <r>
      <rPr>
        <rFont val="Arial"/>
        <color theme="1"/>
        <sz val="10.0"/>
      </rPr>
      <t>)</t>
    </r>
  </si>
  <si>
    <r>
      <rPr>
        <rFont val="Arial"/>
        <color theme="1"/>
        <sz val="10.0"/>
        <vertAlign val="superscript"/>
      </rPr>
      <t>o</t>
    </r>
    <r>
      <rPr>
        <rFont val="Arial"/>
        <color theme="1"/>
        <sz val="10.0"/>
      </rPr>
      <t>C</t>
    </r>
  </si>
  <si>
    <r>
      <rPr>
        <rFont val="Arial"/>
        <color theme="1"/>
        <sz val="10.0"/>
      </rPr>
      <t>Minimum Power Limit to Ensure Vsns &gt; 5mV (P</t>
    </r>
    <r>
      <rPr>
        <rFont val="Arial"/>
        <color theme="1"/>
        <sz val="10.0"/>
        <vertAlign val="subscript"/>
      </rPr>
      <t>LIM,MIN</t>
    </r>
    <r>
      <rPr>
        <rFont val="Arial"/>
        <color theme="1"/>
        <sz val="10.0"/>
      </rPr>
      <t>)</t>
    </r>
  </si>
  <si>
    <t>Target Power Limit</t>
  </si>
  <si>
    <r>
      <rPr>
        <rFont val="Arial"/>
        <color theme="1"/>
        <sz val="10.0"/>
      </rPr>
      <t>Calculated R</t>
    </r>
    <r>
      <rPr>
        <rFont val="Arial"/>
        <color theme="1"/>
        <sz val="10.0"/>
        <vertAlign val="subscript"/>
      </rPr>
      <t>PWR</t>
    </r>
  </si>
  <si>
    <r>
      <rPr>
        <rFont val="Arial"/>
        <color theme="1"/>
        <sz val="10.0"/>
      </rPr>
      <t>k</t>
    </r>
    <r>
      <rPr>
        <rFont val="Symbol"/>
        <color theme="1"/>
        <sz val="10.0"/>
      </rPr>
      <t>W</t>
    </r>
  </si>
  <si>
    <r>
      <rPr>
        <rFont val="Arial"/>
        <color theme="1"/>
        <sz val="10.0"/>
      </rPr>
      <t>Actual R</t>
    </r>
    <r>
      <rPr>
        <rFont val="Arial"/>
        <color theme="1"/>
        <sz val="10.0"/>
        <vertAlign val="subscript"/>
      </rPr>
      <t>PWR</t>
    </r>
  </si>
  <si>
    <r>
      <rPr>
        <rFont val="Arial"/>
        <color theme="1"/>
        <sz val="10.0"/>
      </rPr>
      <t>k</t>
    </r>
    <r>
      <rPr>
        <rFont val="Symbol"/>
        <color theme="1"/>
        <sz val="10.0"/>
      </rPr>
      <t>W</t>
    </r>
  </si>
  <si>
    <r>
      <rPr>
        <rFont val="Arial"/>
        <b/>
        <color rgb="FFFF0000"/>
        <sz val="10.0"/>
        <u/>
      </rPr>
      <t>Note:</t>
    </r>
    <r>
      <rPr>
        <rFont val="Arial"/>
        <b/>
        <color rgb="FFFF0000"/>
        <sz val="10.0"/>
      </rPr>
      <t xml:space="preserve"> Hover here to see the 3 values affecting this curve, consult a thermal expert if you are unsure! </t>
    </r>
  </si>
  <si>
    <t>Actual PLIM</t>
  </si>
  <si>
    <t>Step 4: Startup</t>
  </si>
  <si>
    <t>Load Turn-On Threshold</t>
  </si>
  <si>
    <t>Startup Load Type</t>
  </si>
  <si>
    <t>Constant Current</t>
  </si>
  <si>
    <t>Startup Load Value</t>
  </si>
  <si>
    <t>Use External Soft-Start Control (dv/dt)</t>
  </si>
  <si>
    <t>Resistive</t>
  </si>
  <si>
    <t>Typical Start Time with Vinmax (Tstart)</t>
  </si>
  <si>
    <t>ms</t>
  </si>
  <si>
    <t>IFET - ILOAD margin (lowest for Vout range)</t>
  </si>
  <si>
    <t>Target Fault Timer: Tstart + Margin</t>
  </si>
  <si>
    <t>Target Timer capacitance</t>
  </si>
  <si>
    <t>nF</t>
  </si>
  <si>
    <t xml:space="preserve">Selected Timer capacitance </t>
  </si>
  <si>
    <t>Final Fault Timer(Tfault)</t>
  </si>
  <si>
    <t>Derated SOA / PLIM</t>
  </si>
  <si>
    <t>Can a "hot" board be hotplugged</t>
  </si>
  <si>
    <t>Recommended slew Rate (max)</t>
  </si>
  <si>
    <t>V/ms</t>
  </si>
  <si>
    <t>Recommended slew Rate (min)</t>
  </si>
  <si>
    <t>dv/dt rate on Vout</t>
  </si>
  <si>
    <t>calculated SS capacitance</t>
  </si>
  <si>
    <t>Note: This is the typical dv/dt rate, but max value can be 1.4x. This is because the gate source current can vary from 16uA to 22uA. Thus TI recommends keeping the overall SOA margin during start-up &gt;1.5 in order to compensate for this.</t>
  </si>
  <si>
    <t>actual SS capacitance</t>
  </si>
  <si>
    <t>actual typical dv/dt rate on Vout</t>
  </si>
  <si>
    <t>SOA margin during start-up</t>
  </si>
  <si>
    <t>Target Fault Time</t>
  </si>
  <si>
    <t xml:space="preserve">Calculated Timer Capacitance </t>
  </si>
  <si>
    <r>
      <rPr>
        <rFont val="Arial"/>
        <color theme="1"/>
        <sz val="10.0"/>
      </rPr>
      <t>Actual Timer Capacitance ( pick one smaller than C</t>
    </r>
    <r>
      <rPr>
        <rFont val="Arial"/>
        <color theme="1"/>
        <sz val="10.0"/>
        <vertAlign val="subscript"/>
      </rPr>
      <t>T,CALC</t>
    </r>
    <r>
      <rPr>
        <rFont val="Arial"/>
        <color theme="1"/>
        <sz val="10.0"/>
      </rPr>
      <t xml:space="preserve">) </t>
    </r>
  </si>
  <si>
    <t>Actual Fault Time (Tfault)</t>
  </si>
  <si>
    <t xml:space="preserve"> </t>
  </si>
  <si>
    <t>SOA margin during "hot-short" or "start-into short"</t>
  </si>
  <si>
    <t>Resulting Typical Insertion Delay Time</t>
  </si>
  <si>
    <t>Resulting Typical Restart Time</t>
  </si>
  <si>
    <t>Step 5: UVLO, OVLO &amp; PGD Thresholds</t>
  </si>
  <si>
    <t>Select Option A or Option B</t>
  </si>
  <si>
    <t>Option B</t>
  </si>
  <si>
    <t>Option A</t>
  </si>
  <si>
    <t>Desired Upper UVLO Threshold</t>
  </si>
  <si>
    <t>Desired Lower UVLO Threshold</t>
  </si>
  <si>
    <t>Option C</t>
  </si>
  <si>
    <t>Desired Upper OVLO Threshold</t>
  </si>
  <si>
    <t>Option D</t>
  </si>
  <si>
    <t>Desired Lower OVLO Threshold</t>
  </si>
  <si>
    <t>Recommended Resistance for:  R1</t>
  </si>
  <si>
    <r>
      <rPr>
        <rFont val="Arial"/>
        <color theme="1"/>
        <sz val="10.0"/>
      </rPr>
      <t>k</t>
    </r>
    <r>
      <rPr>
        <rFont val="Symbol"/>
        <color theme="1"/>
        <sz val="10.0"/>
      </rPr>
      <t>W</t>
    </r>
  </si>
  <si>
    <t>R2</t>
  </si>
  <si>
    <r>
      <rPr>
        <rFont val="Arial"/>
        <color theme="1"/>
        <sz val="10.0"/>
      </rPr>
      <t>k</t>
    </r>
    <r>
      <rPr>
        <rFont val="Symbol"/>
        <color theme="1"/>
        <sz val="10.0"/>
      </rPr>
      <t>W</t>
    </r>
  </si>
  <si>
    <t>R3</t>
  </si>
  <si>
    <r>
      <rPr>
        <rFont val="Arial"/>
        <color theme="1"/>
        <sz val="10.0"/>
      </rPr>
      <t>k</t>
    </r>
    <r>
      <rPr>
        <rFont val="Symbol"/>
        <color theme="1"/>
        <sz val="10.0"/>
      </rPr>
      <t>W</t>
    </r>
  </si>
  <si>
    <t>R4</t>
  </si>
  <si>
    <r>
      <rPr>
        <rFont val="Arial"/>
        <color theme="1"/>
        <sz val="10.0"/>
      </rPr>
      <t>k</t>
    </r>
    <r>
      <rPr>
        <rFont val="Symbol"/>
        <color theme="1"/>
        <sz val="10.0"/>
      </rPr>
      <t>W</t>
    </r>
  </si>
  <si>
    <t xml:space="preserve">Enter the Resistance for R1 </t>
  </si>
  <si>
    <r>
      <rPr>
        <rFont val="Arial"/>
        <color theme="1"/>
        <sz val="10.0"/>
      </rPr>
      <t>k</t>
    </r>
    <r>
      <rPr>
        <rFont val="Symbol"/>
        <color theme="1"/>
        <sz val="10.0"/>
      </rPr>
      <t>W</t>
    </r>
  </si>
  <si>
    <t xml:space="preserve">Enter the Resistance for R2 </t>
  </si>
  <si>
    <r>
      <rPr>
        <rFont val="Arial"/>
        <color theme="1"/>
        <sz val="10.0"/>
      </rPr>
      <t>k</t>
    </r>
    <r>
      <rPr>
        <rFont val="Symbol"/>
        <color theme="1"/>
        <sz val="10.0"/>
      </rPr>
      <t>W</t>
    </r>
  </si>
  <si>
    <t xml:space="preserve">Enter the Resistance for R3 </t>
  </si>
  <si>
    <r>
      <rPr>
        <rFont val="Arial"/>
        <color theme="1"/>
        <sz val="10.0"/>
      </rPr>
      <t>k</t>
    </r>
    <r>
      <rPr>
        <rFont val="Symbol"/>
        <color theme="1"/>
        <sz val="10.0"/>
      </rPr>
      <t>W</t>
    </r>
  </si>
  <si>
    <t xml:space="preserve">Enter the Resistance for R4 </t>
  </si>
  <si>
    <r>
      <rPr>
        <rFont val="Arial"/>
        <color theme="1"/>
        <sz val="10.0"/>
      </rPr>
      <t>k</t>
    </r>
    <r>
      <rPr>
        <rFont val="Symbol"/>
        <color theme="1"/>
        <sz val="10.0"/>
      </rPr>
      <t>W</t>
    </r>
  </si>
  <si>
    <t>Resulting Thresholds:</t>
  </si>
  <si>
    <t>Minimum</t>
  </si>
  <si>
    <t>Typical</t>
  </si>
  <si>
    <t>Maximum</t>
  </si>
  <si>
    <t xml:space="preserve">Resulting Upper UVLO Threshold = </t>
  </si>
  <si>
    <t xml:space="preserve">Resulting Lower UVLO Threshold = </t>
  </si>
  <si>
    <t xml:space="preserve">Resulting Upper OVLO Threshold = </t>
  </si>
  <si>
    <t xml:space="preserve">Resulting Lower OVLO Threshold = </t>
  </si>
  <si>
    <t>Note: If any of the cells above are yellow, then these values are outside of the device's operating range. This will result in the device turning either on or off at its operating limits rather than at the user selected values in yellow.</t>
  </si>
  <si>
    <r>
      <rPr>
        <rFont val="Arial"/>
        <color theme="1"/>
        <sz val="10.0"/>
      </rPr>
      <t>Enter the Resistance for R</t>
    </r>
    <r>
      <rPr>
        <rFont val="Arial"/>
        <color theme="1"/>
        <sz val="10.0"/>
        <vertAlign val="subscript"/>
      </rPr>
      <t>PG</t>
    </r>
  </si>
  <si>
    <r>
      <rPr>
        <rFont val="Arial"/>
        <color theme="1"/>
        <sz val="10.0"/>
      </rPr>
      <t>k</t>
    </r>
    <r>
      <rPr>
        <rFont val="Symbol"/>
        <color theme="1"/>
        <sz val="10.0"/>
      </rPr>
      <t>W</t>
    </r>
  </si>
  <si>
    <t>Design Summary</t>
  </si>
  <si>
    <r>
      <rPr>
        <rFont val="Arial"/>
        <color theme="1"/>
        <sz val="11.0"/>
      </rPr>
      <t>R</t>
    </r>
    <r>
      <rPr>
        <rFont val="Arial"/>
        <color theme="1"/>
        <sz val="11.0"/>
        <vertAlign val="subscript"/>
      </rPr>
      <t>SNS</t>
    </r>
    <r>
      <rPr>
        <rFont val="Arial"/>
        <color theme="1"/>
        <sz val="11.0"/>
      </rPr>
      <t xml:space="preserve"> =</t>
    </r>
  </si>
  <si>
    <r>
      <rPr>
        <rFont val="Arial"/>
        <color theme="1"/>
        <sz val="10.0"/>
      </rPr>
      <t>m</t>
    </r>
    <r>
      <rPr>
        <rFont val="Symbol"/>
        <color theme="1"/>
        <sz val="10.0"/>
      </rPr>
      <t>W</t>
    </r>
  </si>
  <si>
    <r>
      <rPr>
        <rFont val="Arial"/>
        <color theme="1"/>
        <sz val="11.0"/>
      </rPr>
      <t>R</t>
    </r>
    <r>
      <rPr>
        <rFont val="Arial"/>
        <color theme="1"/>
        <sz val="11.0"/>
        <vertAlign val="subscript"/>
      </rPr>
      <t>CL1</t>
    </r>
    <r>
      <rPr>
        <rFont val="Arial"/>
        <color theme="1"/>
        <sz val="11.0"/>
      </rPr>
      <t xml:space="preserve"> =</t>
    </r>
  </si>
  <si>
    <r>
      <rPr>
        <rFont val="Arial"/>
        <color theme="1"/>
        <sz val="11.0"/>
      </rPr>
      <t>R</t>
    </r>
    <r>
      <rPr>
        <rFont val="Arial"/>
        <color theme="1"/>
        <sz val="11.0"/>
        <vertAlign val="subscript"/>
      </rPr>
      <t>CL2</t>
    </r>
    <r>
      <rPr>
        <rFont val="Arial"/>
        <color theme="1"/>
        <sz val="11.0"/>
      </rPr>
      <t xml:space="preserve"> =</t>
    </r>
  </si>
  <si>
    <r>
      <rPr>
        <rFont val="Arial"/>
        <color theme="1"/>
        <sz val="10.0"/>
      </rPr>
      <t>R</t>
    </r>
    <r>
      <rPr>
        <rFont val="Arial"/>
        <color theme="1"/>
        <sz val="10.0"/>
        <vertAlign val="subscript"/>
      </rPr>
      <t>PWR</t>
    </r>
    <r>
      <rPr>
        <rFont val="Arial"/>
        <color theme="1"/>
        <sz val="10.0"/>
      </rPr>
      <t xml:space="preserve"> =</t>
    </r>
  </si>
  <si>
    <r>
      <rPr>
        <rFont val="Arial"/>
        <color theme="1"/>
        <sz val="10.0"/>
      </rPr>
      <t>k</t>
    </r>
    <r>
      <rPr>
        <rFont val="Symbol"/>
        <color theme="1"/>
        <sz val="10.0"/>
      </rPr>
      <t>W</t>
    </r>
  </si>
  <si>
    <t>Settings</t>
  </si>
  <si>
    <t>Units</t>
  </si>
  <si>
    <r>
      <rPr>
        <rFont val="Arial"/>
        <color theme="1"/>
        <sz val="10.0"/>
      </rPr>
      <t>C</t>
    </r>
    <r>
      <rPr>
        <rFont val="Arial"/>
        <color theme="1"/>
        <sz val="10.0"/>
        <vertAlign val="subscript"/>
      </rPr>
      <t>TIMER</t>
    </r>
    <r>
      <rPr>
        <rFont val="Arial"/>
        <color theme="1"/>
        <sz val="10.0"/>
      </rPr>
      <t xml:space="preserve"> =</t>
    </r>
  </si>
  <si>
    <t>Current limit</t>
  </si>
  <si>
    <t>R1 =</t>
  </si>
  <si>
    <r>
      <rPr>
        <rFont val="Arial"/>
        <color theme="1"/>
        <sz val="10.0"/>
      </rPr>
      <t>k</t>
    </r>
    <r>
      <rPr>
        <rFont val="Symbol"/>
        <color theme="1"/>
        <sz val="10.0"/>
      </rPr>
      <t>W</t>
    </r>
  </si>
  <si>
    <t>Power Limit</t>
  </si>
  <si>
    <t>R2 =</t>
  </si>
  <si>
    <r>
      <rPr>
        <rFont val="Arial"/>
        <color theme="1"/>
        <sz val="10.0"/>
      </rPr>
      <t>k</t>
    </r>
    <r>
      <rPr>
        <rFont val="Symbol"/>
        <color theme="1"/>
        <sz val="10.0"/>
      </rPr>
      <t>W</t>
    </r>
  </si>
  <si>
    <t>Circuit Breaker Current</t>
  </si>
  <si>
    <t>R3 =</t>
  </si>
  <si>
    <r>
      <rPr>
        <rFont val="Arial"/>
        <color theme="1"/>
        <sz val="10.0"/>
      </rPr>
      <t>k</t>
    </r>
    <r>
      <rPr>
        <rFont val="Symbol"/>
        <color theme="1"/>
        <sz val="10.0"/>
      </rPr>
      <t>W</t>
    </r>
  </si>
  <si>
    <t>Startup Time</t>
  </si>
  <si>
    <t>R4 =</t>
  </si>
  <si>
    <r>
      <rPr>
        <rFont val="Arial"/>
        <color theme="1"/>
        <sz val="10.0"/>
      </rPr>
      <t>k</t>
    </r>
    <r>
      <rPr>
        <rFont val="Symbol"/>
        <color theme="1"/>
        <sz val="10.0"/>
      </rPr>
      <t>W</t>
    </r>
  </si>
  <si>
    <t>Insertion Delay</t>
  </si>
  <si>
    <r>
      <rPr>
        <rFont val="Arial"/>
        <color theme="1"/>
        <sz val="10.0"/>
      </rPr>
      <t>C</t>
    </r>
    <r>
      <rPr>
        <rFont val="Arial"/>
        <color theme="1"/>
        <sz val="10.0"/>
        <vertAlign val="subscript"/>
      </rPr>
      <t>dv/dt</t>
    </r>
    <r>
      <rPr>
        <rFont val="Arial"/>
        <color theme="1"/>
        <sz val="10.0"/>
      </rPr>
      <t xml:space="preserve"> =</t>
    </r>
  </si>
  <si>
    <t>Fault Timeout</t>
  </si>
  <si>
    <r>
      <rPr>
        <rFont val="Arial"/>
        <color theme="1"/>
        <sz val="10.0"/>
      </rPr>
      <t>C</t>
    </r>
    <r>
      <rPr>
        <rFont val="Arial"/>
        <color theme="1"/>
        <sz val="10.0"/>
        <vertAlign val="subscript"/>
      </rPr>
      <t>IN</t>
    </r>
    <r>
      <rPr>
        <rFont val="Arial"/>
        <color theme="1"/>
        <sz val="10.0"/>
      </rPr>
      <t xml:space="preserve"> = </t>
    </r>
  </si>
  <si>
    <t>Restart Time During Fault</t>
  </si>
  <si>
    <t>D1</t>
  </si>
  <si>
    <t>B380-13-F</t>
  </si>
  <si>
    <t>Upper UVLO Threshold</t>
  </si>
  <si>
    <t>D2</t>
  </si>
  <si>
    <t>BAV16W-7-F</t>
  </si>
  <si>
    <t>Lower UVLO Threshold</t>
  </si>
  <si>
    <t>Q1</t>
  </si>
  <si>
    <t>Upper OVLO Threshold</t>
  </si>
  <si>
    <t>Q2</t>
  </si>
  <si>
    <t>NSVMMBT5401LT3G</t>
  </si>
  <si>
    <t>Lower OVLO Threshold</t>
  </si>
  <si>
    <t>Z1</t>
  </si>
  <si>
    <t>5.0SMDJ36A</t>
  </si>
  <si>
    <t>Notes:</t>
  </si>
  <si>
    <r>
      <rPr>
        <rFont val="Arial"/>
        <color theme="1"/>
        <sz val="10.0"/>
      </rPr>
      <t>1. Although not mandatory, C</t>
    </r>
    <r>
      <rPr>
        <rFont val="Arial"/>
        <color theme="1"/>
        <sz val="10.0"/>
        <vertAlign val="subscript"/>
      </rPr>
      <t>IN</t>
    </r>
    <r>
      <rPr>
        <rFont val="Arial"/>
        <color theme="1"/>
        <sz val="10.0"/>
      </rPr>
      <t xml:space="preserve"> provides transient suppression at the VIN pin</t>
    </r>
  </si>
  <si>
    <t>2. A TVS clamp from VIN to GND is absolutely mandatory to clamp the voltage overshoot upon MOSFET turn-off, e.g. during circuit breaker</t>
  </si>
  <si>
    <t>3. Componet tolerances not accounted for in Min/Max Calculations.</t>
  </si>
  <si>
    <t>Min</t>
  </si>
  <si>
    <t>Typ</t>
  </si>
  <si>
    <t>Max</t>
  </si>
  <si>
    <t>Operating Conditions</t>
  </si>
  <si>
    <t>Junction Temperature</t>
  </si>
  <si>
    <t>Input Voltage</t>
  </si>
  <si>
    <t>Current Limit</t>
  </si>
  <si>
    <t>Sense input Current</t>
  </si>
  <si>
    <t>uA</t>
  </si>
  <si>
    <t>Systematic Offset</t>
  </si>
  <si>
    <t>Minimum Recommended Vsns</t>
  </si>
  <si>
    <t>&lt;= I am assuming this would have +/- 50% error at best</t>
  </si>
  <si>
    <t>A_coeff</t>
  </si>
  <si>
    <t xml:space="preserve">Key Equations: </t>
  </si>
  <si>
    <t>Vsns = Rpwr / (A*Vds) + Vos,syst</t>
  </si>
  <si>
    <t xml:space="preserve">Example: </t>
  </si>
  <si>
    <t>Vds</t>
  </si>
  <si>
    <t>Rpwr</t>
  </si>
  <si>
    <t>Rsns (m-ohm)</t>
  </si>
  <si>
    <t>Plim</t>
  </si>
  <si>
    <t>Vsns (mV)</t>
  </si>
  <si>
    <t>Plim (Vds) = 1/Rs * [ Rpwr/A]</t>
  </si>
  <si>
    <t>Rpwr =  A * [PLIM(Vds) * Rs]</t>
  </si>
  <si>
    <t>How Plim varries vs Vds:</t>
  </si>
  <si>
    <t>Ex: Plim @ 13V = 100W, Rs = 0.5; Plim @ (Vds = 5V) = 100W - 7V * 1mV/0.5mili-ohm = 100W - 14W = 86W</t>
  </si>
  <si>
    <t>Timer</t>
  </si>
  <si>
    <t>Upper Threshold</t>
  </si>
  <si>
    <t>Insertion Time Current</t>
  </si>
  <si>
    <t>timer_constant</t>
  </si>
  <si>
    <t>Fault detection current</t>
  </si>
  <si>
    <t>Computed Start - Up Slop</t>
  </si>
  <si>
    <t>&lt;= mean root square(T_start_error_Plim, timer_error, cap_error); T_start proportional to 1/Plim =&gt; T_start_error_plim = 1/(1-Plim_err) - 1 = 1/(1-0.4) - 1 = 0.66</t>
  </si>
  <si>
    <t>Slop for calculations</t>
  </si>
  <si>
    <t>Note: We get additional buffer, b/c this is designed for a Vinmax, while typically Vin = Vinnom</t>
  </si>
  <si>
    <t>Gate</t>
  </si>
  <si>
    <t>Gate Sourcing Current</t>
  </si>
  <si>
    <t>Circuit Breaker</t>
  </si>
  <si>
    <t>Timer Pin</t>
  </si>
  <si>
    <t>Lower Threshold (Restart)</t>
  </si>
  <si>
    <t>End of Cycle</t>
  </si>
  <si>
    <t>Re-enable threshold</t>
  </si>
  <si>
    <t>Insertion time current</t>
  </si>
  <si>
    <t>Sink current, end of insertion</t>
  </si>
  <si>
    <t>Fault sink current</t>
  </si>
  <si>
    <t>Power Good</t>
  </si>
  <si>
    <t>PGVOL</t>
  </si>
  <si>
    <t>mV</t>
  </si>
  <si>
    <t>mA sinking</t>
  </si>
  <si>
    <t>FB Pin</t>
  </si>
  <si>
    <t>FB Threshold</t>
  </si>
  <si>
    <t>FB Hysteresis Current</t>
  </si>
  <si>
    <t>CLMIN =</t>
  </si>
  <si>
    <t xml:space="preserve">CLNOM = </t>
  </si>
  <si>
    <t>CLMAX =</t>
  </si>
  <si>
    <t>Max Rs =</t>
  </si>
  <si>
    <t>RCL1 Recommended  =</t>
  </si>
  <si>
    <t>RCL2 Recommmended =</t>
  </si>
  <si>
    <t>Effective Rs =</t>
  </si>
  <si>
    <t>Min. Current limit =</t>
  </si>
  <si>
    <t>Typ. Current limit =</t>
  </si>
  <si>
    <t>Max. Current limit =</t>
  </si>
  <si>
    <t>Rs Power Diss. =</t>
  </si>
  <si>
    <t>FET Selection</t>
  </si>
  <si>
    <t>Nominal</t>
  </si>
  <si>
    <t>Derated at TJ</t>
  </si>
  <si>
    <t>100ms SOA Current Maximum Input Voltage</t>
  </si>
  <si>
    <t>1ms SOA Current Maximum Input Voltage</t>
  </si>
  <si>
    <t>10ms SOA Current Maximum Input Voltage</t>
  </si>
  <si>
    <t>100ms or DC SOA Current at Maximum Input Voltage</t>
  </si>
  <si>
    <t>Minimum Power Limit=</t>
  </si>
  <si>
    <t>Target PLIM</t>
  </si>
  <si>
    <t>k-ohm</t>
  </si>
  <si>
    <t>Rpwr actual</t>
  </si>
  <si>
    <t>Final Plim</t>
  </si>
  <si>
    <t>Resulting Typical Power Limit =</t>
  </si>
  <si>
    <t xml:space="preserve">   24% tolerance used in this calculation.</t>
  </si>
  <si>
    <t>Resulting Minimum Power Limit =</t>
  </si>
  <si>
    <t>Resulting Maximum Power Limit =</t>
  </si>
  <si>
    <t>Startup</t>
  </si>
  <si>
    <t>With PLIM</t>
  </si>
  <si>
    <t>Typical Start time</t>
  </si>
  <si>
    <t>Start-slop</t>
  </si>
  <si>
    <t>Target Fault Timer</t>
  </si>
  <si>
    <t>Selected Timer capacitance</t>
  </si>
  <si>
    <t>Final Fault Timer</t>
  </si>
  <si>
    <t>SOA / PLIM</t>
  </si>
  <si>
    <t>With SS</t>
  </si>
  <si>
    <t>dv/dt rate</t>
  </si>
  <si>
    <t>actual dv/dt rate</t>
  </si>
  <si>
    <t>I_Cout</t>
  </si>
  <si>
    <t>typical start time</t>
  </si>
  <si>
    <t>FET Energy dissipated at start-up (EFET)</t>
  </si>
  <si>
    <t>J</t>
  </si>
  <si>
    <t>Peak Power dissipated  during start-up (PFET)</t>
  </si>
  <si>
    <t>Equivalent time at peak power - EFET/PFET (t_power)</t>
  </si>
  <si>
    <t>Available SOA for t_power at Vinmax</t>
  </si>
  <si>
    <t>SOA margin</t>
  </si>
  <si>
    <t>Covering hot-short, start-into short for SS</t>
  </si>
  <si>
    <t>Actual Timer Capacitance</t>
  </si>
  <si>
    <t>Available derated SOA for Tfault</t>
  </si>
  <si>
    <t xml:space="preserve">  10% margin added in this calculation</t>
  </si>
  <si>
    <t>UVLO upper is F40</t>
  </si>
  <si>
    <t>R1 is F48</t>
  </si>
  <si>
    <t>V/S</t>
  </si>
  <si>
    <t>Min Insertion time =</t>
  </si>
  <si>
    <t>Typ. Insertion time =</t>
  </si>
  <si>
    <t>Max Insertion time =</t>
  </si>
  <si>
    <t xml:space="preserve">Min Restart time = </t>
  </si>
  <si>
    <t>Typ. Restart time =</t>
  </si>
  <si>
    <t>Max Restart time =</t>
  </si>
  <si>
    <t>Min PG Threshold =</t>
  </si>
  <si>
    <t>Nom PG Threshold =</t>
  </si>
  <si>
    <t>Max PG Threshold =</t>
  </si>
  <si>
    <t>Min PG Hysteresis =</t>
  </si>
  <si>
    <t>Nom PG Hysteresis =</t>
  </si>
  <si>
    <t>Max PG Hysteresis =</t>
  </si>
  <si>
    <t>UVLO lower is F41</t>
  </si>
  <si>
    <t>R2 is F49</t>
  </si>
  <si>
    <t>OVLO upper is F42</t>
  </si>
  <si>
    <t>R3 is F50</t>
  </si>
  <si>
    <t>OVLO lower is F43</t>
  </si>
  <si>
    <t>R4 is F51</t>
  </si>
  <si>
    <t>B</t>
  </si>
  <si>
    <t>C</t>
  </si>
  <si>
    <t>D</t>
  </si>
  <si>
    <t xml:space="preserve">R1 = </t>
  </si>
  <si>
    <t xml:space="preserve">R2 = </t>
  </si>
  <si>
    <t xml:space="preserve">R3 = </t>
  </si>
  <si>
    <t xml:space="preserve">R4 = </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</si>
  <si>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</si>
  <si>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</si>
  <si>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</si>
  <si>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</si>
  <si>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</si>
  <si>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</si>
  <si>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</si>
  <si>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</si>
  <si>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</si>
  <si>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</si>
  <si>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</si>
  <si>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</si>
  <si>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Ramp time for output voltage</t>
  </si>
  <si>
    <t>Nominal output voltage</t>
  </si>
  <si>
    <t>Required soft-start capacitance</t>
  </si>
  <si>
    <t>GRAPH:</t>
  </si>
  <si>
    <t>Selected Rs =</t>
  </si>
  <si>
    <r>
      <rPr>
        <rFont val="Arial"/>
        <color theme="1"/>
        <sz val="10.0"/>
      </rPr>
      <t>Selected R</t>
    </r>
    <r>
      <rPr>
        <rFont val="Arial"/>
        <color theme="1"/>
        <sz val="10.0"/>
        <vertAlign val="subscript"/>
      </rPr>
      <t>PWR</t>
    </r>
    <r>
      <rPr>
        <rFont val="Arial"/>
        <color theme="1"/>
        <sz val="10.0"/>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</si>
  <si>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</si>
  <si>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</si>
  <si>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</si>
  <si>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</si>
  <si>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</si>
  <si>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</si>
  <si>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</si>
  <si>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</si>
  <si>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</si>
  <si>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C) This table creates the</t>
  </si>
  <si>
    <t>D) This table changes ID values to zero for Vds&gt;Vin(max)</t>
  </si>
  <si>
    <t>on power limit only - no current limit info.</t>
  </si>
  <si>
    <t>current is greater than the current limit.</t>
  </si>
  <si>
    <t>SOA data points from</t>
  </si>
  <si>
    <t>and adds the SOA curve. This data is plotted.</t>
  </si>
  <si>
    <t>PLIM</t>
  </si>
  <si>
    <t>the customer's SOA</t>
  </si>
  <si>
    <t>SOA</t>
  </si>
  <si>
    <t>Temp Derated SOA</t>
  </si>
  <si>
    <t>data he entered.</t>
  </si>
  <si>
    <t>User's</t>
  </si>
  <si>
    <t>Ids</t>
  </si>
  <si>
    <t>x = customer's entry</t>
  </si>
  <si>
    <t>x</t>
  </si>
  <si>
    <t>Note: I added an adjustment for the systematic offset</t>
  </si>
  <si>
    <t>Vos syst</t>
  </si>
  <si>
    <t>Rs (ohm)</t>
  </si>
  <si>
    <t>Vin, max</t>
  </si>
  <si>
    <t>Plim tolerance</t>
  </si>
  <si>
    <t>Plim (Vds) = Plim (Vin,max) + (Vds - Vin,max)*Vos,syst/Rs</t>
  </si>
  <si>
    <t>ILIM</t>
  </si>
  <si>
    <t>Load type</t>
  </si>
  <si>
    <t>SS</t>
  </si>
  <si>
    <t>Load Value</t>
  </si>
  <si>
    <t>Load start</t>
  </si>
  <si>
    <t>Rs</t>
  </si>
  <si>
    <t>Vos,syst</t>
  </si>
  <si>
    <t>Start-time</t>
  </si>
  <si>
    <t>I_fet-I_L margin</t>
  </si>
  <si>
    <t>I_g(hi/nom)</t>
  </si>
  <si>
    <t>I_g(low/nom)</t>
  </si>
  <si>
    <t>To avoid timer running: Iload + Icap,ss &lt; IFET_PLIM / 2 =&gt; SS_RATE &lt; 1/Cout * (IFET_PLIM/2 - ILOAD)</t>
  </si>
  <si>
    <t>Max_SS_Rate</t>
  </si>
  <si>
    <t>max_power_typ</t>
  </si>
  <si>
    <t>FET_ENERGY</t>
  </si>
  <si>
    <t>max_power_high</t>
  </si>
  <si>
    <t>max_power_low</t>
  </si>
  <si>
    <t>VIN</t>
  </si>
  <si>
    <t>Vout</t>
  </si>
  <si>
    <t>ILOAD</t>
  </si>
  <si>
    <t>IFET_PLIM</t>
  </si>
  <si>
    <t>I_FET_SS</t>
  </si>
  <si>
    <t>IFET</t>
  </si>
  <si>
    <t>ICAP</t>
  </si>
  <si>
    <r>
      <rPr>
        <rFont val="Symbol"/>
        <b/>
        <color theme="1"/>
        <sz val="10.0"/>
        <u/>
      </rPr>
      <t>D</t>
    </r>
    <r>
      <rPr>
        <rFont val="Arial"/>
        <b/>
        <color theme="1"/>
        <sz val="10.0"/>
        <u/>
      </rPr>
      <t>t</t>
    </r>
  </si>
  <si>
    <t>Time</t>
  </si>
  <si>
    <t>Tiime (ms)</t>
  </si>
  <si>
    <t>I_Fet-IL margin</t>
  </si>
  <si>
    <t>Max _allowed SS_rate</t>
  </si>
  <si>
    <t>FET_Energy</t>
  </si>
  <si>
    <t>Power (W)</t>
  </si>
  <si>
    <t>P_ fast_SS</t>
  </si>
  <si>
    <t>P_slow_SS</t>
  </si>
  <si>
    <t xml:space="preserve">Start-up slop </t>
  </si>
  <si>
    <t>QG</t>
  </si>
  <si>
    <t>I_Src</t>
  </si>
  <si>
    <t>RMS</t>
  </si>
  <si>
    <t>combined</t>
  </si>
  <si>
    <t>I_timer</t>
  </si>
  <si>
    <t>C_timer</t>
  </si>
  <si>
    <t>Final</t>
  </si>
  <si>
    <t>Look Up</t>
  </si>
  <si>
    <t>I = a * t^m</t>
  </si>
  <si>
    <t>100us</t>
  </si>
  <si>
    <t>1ms</t>
  </si>
  <si>
    <t>10ms</t>
  </si>
  <si>
    <t>100ms</t>
  </si>
  <si>
    <t>1s/DC</t>
  </si>
  <si>
    <t>a = iSOA1/tSOA1^m</t>
  </si>
  <si>
    <t>Final SOA</t>
  </si>
  <si>
    <t>m = log(iSOA1/iSOA2)/log(tSOA1/tSOA2)</t>
  </si>
  <si>
    <t>SOA Check - Based on Timer</t>
  </si>
  <si>
    <t>SOA Predictor - dv/dt start-up</t>
  </si>
  <si>
    <t>time</t>
  </si>
  <si>
    <t>Voltage</t>
  </si>
  <si>
    <t>Lower time</t>
  </si>
  <si>
    <t>Lower time (adjusted)</t>
  </si>
  <si>
    <t>Higher timer</t>
  </si>
  <si>
    <t>Higher time</t>
  </si>
  <si>
    <t>Higher time (adjusted)</t>
  </si>
  <si>
    <t>I (lower time)</t>
  </si>
  <si>
    <t>I (higher time)</t>
  </si>
  <si>
    <t>Assuming Power vs time is linear on a log-log plot</t>
  </si>
  <si>
    <t>a</t>
  </si>
  <si>
    <t>m</t>
  </si>
  <si>
    <t>&lt;-- Cannot plot zero on a log graph. If slope ~=0, then use 1e-12 as value</t>
  </si>
  <si>
    <t>Extr. I</t>
  </si>
  <si>
    <t>Interpolated Power=</t>
  </si>
  <si>
    <t>board hot?</t>
  </si>
  <si>
    <t>Derating factor =</t>
  </si>
  <si>
    <t>Temp for derating</t>
  </si>
  <si>
    <t xml:space="preserve">Max Power with Temp Derating = </t>
  </si>
  <si>
    <t>SOA Coefficients</t>
  </si>
  <si>
    <t>0.1 to 1 ms</t>
  </si>
  <si>
    <t>1 to 10ms</t>
  </si>
  <si>
    <t>10ms to 100 ms</t>
  </si>
  <si>
    <t>100 ms to 1s</t>
  </si>
  <si>
    <t>t1</t>
  </si>
  <si>
    <t>t2</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</si>
  <si>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</si>
  <si>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</si>
  <si>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</si>
  <si>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</si>
  <si>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</si>
  <si>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</si>
  <si>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</si>
  <si>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 xml:space="preserve">                </t>
  </si>
  <si>
    <t xml:space="preserve"> P = (I_cap + Vout/R ) * (Vin - Vout) = Icap * Vin - Icap * Vout +Vin * Vout / R - Vout^2 / R </t>
  </si>
  <si>
    <t xml:space="preserve"> =&gt;  dP/dVout =  -Icap + Vin/R -2Vout /R ;  Zero when Vout = -R*I_cap / 2 + Vin / 2</t>
  </si>
  <si>
    <t>Copied Inputs</t>
  </si>
  <si>
    <t>Temp_start_up</t>
  </si>
  <si>
    <t>SOA margin target</t>
  </si>
  <si>
    <t>Cap Energy (J)</t>
  </si>
  <si>
    <t>E_load (t_worksheet)  (J)</t>
  </si>
  <si>
    <t>t_worksheet (ms)</t>
  </si>
  <si>
    <t>Initial</t>
  </si>
  <si>
    <t xml:space="preserve">max slew rate </t>
  </si>
  <si>
    <t>Upper bound Slew Rate (4ms start-up) (V/ms)</t>
  </si>
  <si>
    <t>min slew rate</t>
  </si>
  <si>
    <t>Min Slew Rate (400 ms start - up) (V/ms)</t>
  </si>
  <si>
    <t># of points</t>
  </si>
  <si>
    <t>mult per point</t>
  </si>
  <si>
    <t>slew rate (V/ms)</t>
  </si>
  <si>
    <t>t_start (ms)</t>
  </si>
  <si>
    <t>I_cap (A)</t>
  </si>
  <si>
    <t>Total FET Energy (J)</t>
  </si>
  <si>
    <t>Power (Vout= 0) , (W)</t>
  </si>
  <si>
    <t>Power (load on), (W)</t>
  </si>
  <si>
    <t>Vout (dP/dVout = 0) (V)</t>
  </si>
  <si>
    <t xml:space="preserve">Power (@ Vout above, if applicable) </t>
  </si>
  <si>
    <t>max power (W)</t>
  </si>
  <si>
    <t>Equivalent time for SOA (ms)</t>
  </si>
  <si>
    <t>Available SOA (W)</t>
  </si>
  <si>
    <t>Derated for Temp</t>
  </si>
  <si>
    <t>SOA Margin</t>
  </si>
  <si>
    <t xml:space="preserve">Pass? </t>
  </si>
  <si>
    <t>N</t>
  </si>
  <si>
    <t>first yes</t>
  </si>
  <si>
    <t>2nd yes</t>
  </si>
  <si>
    <t>Mult 1</t>
  </si>
  <si>
    <t>mult2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</si>
</sst>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00"/>
    <numFmt numFmtId="166" formatCode="0.0000"/>
    <numFmt numFmtId="167" formatCode="##0.00E+0"/>
  </numFmts>
  <fonts count="52">
    <font>
      <sz val="10.0"/>
      <color rgb="FF000000"/>
      <name val="Arial"/>
    </font>
    <font>
      <sz val="10.0"/>
      <color theme="1"/>
      <name val="Arial"/>
    </font>
    <font>
      <b/>
      <sz val="24.0"/>
      <color theme="1"/>
      <name val="Arial"/>
    </font>
    <font>
      <sz val="12.0"/>
      <color theme="1"/>
      <name val="Open Sans"/>
    </font>
    <font>
      <b/>
      <sz val="18.0"/>
      <color theme="1"/>
      <name val="Arial"/>
    </font>
    <font>
      <b/>
      <i/>
      <sz val="16.0"/>
      <color theme="1"/>
      <name val="Arial"/>
    </font>
    <font>
      <b/>
      <i/>
      <sz val="11.0"/>
      <color theme="1"/>
      <name val="Arial"/>
    </font>
    <font>
      <u/>
      <sz val="10.0"/>
      <color theme="10"/>
      <name val="Arial"/>
    </font>
    <font/>
    <font>
      <u/>
      <sz val="10.0"/>
      <color theme="10"/>
      <name val="Arial"/>
    </font>
    <font>
      <b/>
      <i/>
      <sz val="10.0"/>
      <color theme="1"/>
      <name val="Arial"/>
    </font>
    <font>
      <sz val="11.0"/>
      <color rgb="FF000000"/>
      <name val="Arial"/>
    </font>
    <font>
      <sz val="24.0"/>
      <color theme="0"/>
      <name val="Arial"/>
    </font>
    <font>
      <sz val="26.0"/>
      <color theme="0"/>
      <name val="Arial"/>
    </font>
    <font>
      <sz val="10.0"/>
      <color theme="0"/>
      <name val="Calibri"/>
    </font>
    <font>
      <sz val="10.0"/>
      <color theme="1"/>
      <name val="Calibri"/>
    </font>
    <font>
      <u/>
      <sz val="10.0"/>
      <color theme="0"/>
      <name val="Arial"/>
    </font>
    <font>
      <b/>
      <sz val="12.0"/>
      <color rgb="FFFF0000"/>
      <name val="Calibri"/>
    </font>
    <font>
      <sz val="10.0"/>
      <color rgb="FF969696"/>
      <name val="Arial"/>
    </font>
    <font>
      <sz val="10.0"/>
      <color rgb="FFFF0000"/>
      <name val="Arial"/>
    </font>
    <font>
      <b/>
      <sz val="11.0"/>
      <color theme="1"/>
      <name val="Arial"/>
    </font>
    <font>
      <sz val="12.0"/>
      <color theme="1"/>
      <name val="Arial"/>
    </font>
    <font>
      <sz val="12.0"/>
      <color rgb="FFFF0000"/>
      <name val="Arial"/>
    </font>
    <font>
      <u/>
      <sz val="12.0"/>
      <color theme="10"/>
      <name val="Arial"/>
    </font>
    <font>
      <u/>
      <sz val="12.0"/>
      <color theme="10"/>
      <name val="Arial"/>
    </font>
    <font>
      <u/>
      <sz val="12.0"/>
      <color theme="10"/>
      <name val="Arial"/>
    </font>
    <font>
      <u/>
      <sz val="12.0"/>
      <color theme="10"/>
      <name val="Arial"/>
    </font>
    <font>
      <sz val="12.0"/>
      <color rgb="FF0000FF"/>
      <name val="Arial"/>
    </font>
    <font>
      <u/>
      <sz val="10.0"/>
      <color theme="10"/>
      <name val="Arial"/>
    </font>
    <font>
      <sz val="11.0"/>
      <color theme="1"/>
      <name val="Arial"/>
    </font>
    <font>
      <u/>
      <sz val="10.0"/>
      <color theme="10"/>
      <name val="Arial"/>
    </font>
    <font>
      <b/>
      <sz val="11.0"/>
      <color rgb="FF0000FF"/>
      <name val="Arial"/>
    </font>
    <font>
      <u/>
      <sz val="10.0"/>
      <color theme="10"/>
      <name val="Arial"/>
    </font>
    <font>
      <b/>
      <sz val="10.0"/>
      <color theme="1"/>
      <name val="Arial"/>
    </font>
    <font>
      <sz val="10.0"/>
      <color theme="1"/>
      <name val="Noto Sans Symbols"/>
    </font>
    <font>
      <color theme="1"/>
      <name val="Calibri"/>
    </font>
    <font>
      <u/>
      <sz val="10.0"/>
      <color theme="10"/>
      <name val="Arial"/>
    </font>
    <font>
      <b/>
      <sz val="9.0"/>
      <color rgb="FFFF0000"/>
      <name val="Arial"/>
    </font>
    <font>
      <u/>
      <sz val="10.0"/>
      <color theme="10"/>
      <name val="Arial"/>
    </font>
    <font>
      <b/>
      <sz val="10.0"/>
      <color rgb="FFFF0000"/>
      <name val="Arial"/>
    </font>
    <font>
      <u/>
      <sz val="10.0"/>
      <color theme="10"/>
      <name val="Arial"/>
    </font>
    <font>
      <u/>
      <sz val="10.0"/>
      <color theme="10"/>
      <name val="Arial"/>
    </font>
    <font>
      <sz val="10.0"/>
      <name val="Arial"/>
    </font>
    <font>
      <b/>
      <u/>
      <sz val="10.0"/>
      <color theme="1"/>
      <name val="Arial"/>
    </font>
    <font>
      <u/>
      <sz val="10.0"/>
      <color theme="1"/>
      <name val="Arial"/>
    </font>
    <font>
      <b/>
      <u/>
      <sz val="10.0"/>
      <color theme="1"/>
      <name val="Arial"/>
    </font>
    <font>
      <b/>
      <u/>
      <sz val="10.0"/>
      <color theme="1"/>
      <name val="Arial"/>
    </font>
    <font>
      <u/>
      <sz val="10.0"/>
      <color theme="1"/>
      <name val="Arial"/>
    </font>
    <font>
      <u/>
      <sz val="10.0"/>
      <color theme="1"/>
      <name val="Arial"/>
    </font>
    <font>
      <sz val="11.0"/>
      <color rgb="FF000000"/>
      <name val="Calibri"/>
    </font>
    <font>
      <u/>
      <sz val="10.0"/>
      <color theme="1"/>
      <name val="Arial"/>
    </font>
    <font>
      <u/>
      <sz val="10.0"/>
      <color theme="1"/>
      <name val="Arial"/>
    </font>
  </fonts>
  <fills count="10">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C2D69B"/>
        <bgColor rgb="FFC2D69B"/>
      </patternFill>
    </fill>
    <fill>
      <patternFill patternType="solid">
        <fgColor rgb="FFD8D8D8"/>
        <bgColor rgb="FFD8D8D8"/>
      </patternFill>
    </fill>
    <fill>
      <patternFill patternType="solid">
        <fgColor rgb="FFD99594"/>
        <bgColor rgb="FFD99594"/>
      </patternFill>
    </fill>
    <fill>
      <patternFill patternType="solid">
        <fgColor rgb="FFBFBFBF"/>
        <bgColor rgb="FFBFBFBF"/>
      </patternFill>
    </fill>
  </fills>
  <borders count="90">
    <border/>
    <border>
      <left style="thick">
        <color rgb="FF0000FF"/>
      </left>
      <right/>
      <top style="thick">
        <color rgb="FF0000FF"/>
      </top>
      <bottom/>
    </border>
    <border>
      <left/>
      <right/>
      <top style="thick">
        <color rgb="FF0000FF"/>
      </top>
      <bottom/>
    </border>
    <border>
      <left/>
      <right style="thick">
        <color rgb="FF0000FF"/>
      </right>
      <top style="thick">
        <color rgb="FF0000FF"/>
      </top>
      <bottom/>
    </border>
    <border>
      <left style="thick">
        <color rgb="FF0000FF"/>
      </left>
      <right/>
      <top/>
      <bottom/>
    </border>
    <border>
      <left/>
      <right/>
      <top/>
      <bottom/>
    </border>
    <border>
      <left/>
      <right style="thick">
        <color rgb="FF0000FF"/>
      </right>
      <top/>
      <bottom/>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ck">
        <color rgb="FF0000FF"/>
      </left>
      <right/>
      <top/>
      <bottom style="thick">
        <color rgb="FF0000FF"/>
      </bottom>
    </border>
    <border>
      <left/>
      <right/>
      <top/>
      <bottom style="thick">
        <color rgb="FF0000FF"/>
      </bottom>
    </border>
    <border>
      <left/>
      <right style="thick">
        <color rgb="FF0000FF"/>
      </right>
      <top/>
      <bottom style="thick">
        <color rgb="FF0000FF"/>
      </bottom>
    </border>
    <border>
      <left style="medium">
        <color rgb="FF000000"/>
      </left>
      <top style="medium">
        <color rgb="FF000000"/>
      </top>
      <bottom/>
    </border>
    <border>
      <top style="medium">
        <color rgb="FF000000"/>
      </top>
      <bottom/>
    </border>
    <border>
      <right/>
      <top style="medium">
        <color rgb="FF000000"/>
      </top>
      <bottom/>
    </border>
    <border>
      <left/>
      <right/>
      <top style="medium">
        <color rgb="FF000000"/>
      </top>
      <bottom/>
    </border>
    <border>
      <left style="thin">
        <color rgb="FF000000"/>
      </left>
      <right style="thin">
        <color rgb="FF000000"/>
      </right>
      <top style="thin">
        <color rgb="FF000000"/>
      </top>
      <bottom style="thin">
        <color rgb="FF000000"/>
      </bottom>
    </border>
    <border>
      <left style="thin">
        <color rgb="FF000000"/>
      </left>
      <top/>
    </border>
    <border>
      <right/>
      <top/>
    </border>
    <border>
      <left style="thin">
        <color rgb="FF000000"/>
      </left>
      <bottom/>
    </border>
    <border>
      <right/>
      <bottom/>
    </border>
    <border>
      <left style="medium">
        <color rgb="FF000000"/>
      </left>
      <right/>
      <top style="medium">
        <color rgb="FF000000"/>
      </top>
      <bottom/>
    </border>
    <border>
      <left/>
      <top style="medium">
        <color rgb="FF000000"/>
      </top>
    </border>
    <border>
      <right/>
      <top style="medium">
        <color rgb="FF000000"/>
      </top>
    </border>
    <border>
      <left/>
      <right style="medium">
        <color rgb="FF000000"/>
      </right>
      <top style="medium">
        <color rgb="FF000000"/>
      </top>
      <bottom/>
    </border>
    <border>
      <left style="medium">
        <color rgb="FF000000"/>
      </left>
      <right/>
      <top/>
      <bottom/>
    </border>
    <border>
      <left/>
      <bottom/>
    </border>
    <border>
      <bottom/>
    </border>
    <border>
      <left/>
      <right style="medium">
        <color rgb="FF000000"/>
      </right>
      <top/>
      <bottom/>
    </border>
    <border>
      <left style="medium">
        <color rgb="FF000000"/>
      </left>
      <right/>
      <top/>
    </border>
    <border>
      <left style="medium">
        <color rgb="FF000000"/>
      </left>
      <right/>
    </border>
    <border>
      <left style="medium">
        <color rgb="FF000000"/>
      </left>
      <right/>
      <bottom/>
    </border>
    <border>
      <left style="medium">
        <color rgb="FF7F7F7F"/>
      </left>
      <top style="medium">
        <color rgb="FF7F7F7F"/>
      </top>
      <bottom style="medium">
        <color rgb="FF7F7F7F"/>
      </bottom>
    </border>
    <border>
      <top style="medium">
        <color rgb="FF7F7F7F"/>
      </top>
      <bottom style="medium">
        <color rgb="FF7F7F7F"/>
      </bottom>
    </border>
    <border>
      <right style="medium">
        <color rgb="FF7F7F7F"/>
      </right>
      <top style="medium">
        <color rgb="FF7F7F7F"/>
      </top>
      <bottom style="medium">
        <color rgb="FF7F7F7F"/>
      </bottom>
    </border>
    <border>
      <left/>
      <right style="medium">
        <color rgb="FF7F7F7F"/>
      </right>
      <top style="medium">
        <color rgb="FF7F7F7F"/>
      </top>
      <bottom style="medium">
        <color rgb="FF7F7F7F"/>
      </bottom>
    </border>
    <border>
      <left style="medium">
        <color rgb="FF7F7F7F"/>
      </left>
      <right style="medium">
        <color rgb="FF7F7F7F"/>
      </right>
      <top style="medium">
        <color rgb="FF7F7F7F"/>
      </top>
      <bottom style="medium">
        <color rgb="FF7F7F7F"/>
      </bottom>
    </border>
    <border>
      <left/>
      <top/>
    </border>
    <border>
      <top/>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thin">
        <color rgb="FF000000"/>
      </right>
      <top/>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top style="thin">
        <color rgb="FF000000"/>
      </top>
      <bottom style="medium">
        <color rgb="FF000000"/>
      </bottom>
    </border>
    <border>
      <left/>
      <right style="thin">
        <color rgb="FF000000"/>
      </right>
      <top/>
      <bottom style="medium">
        <color rgb="FF000000"/>
      </bottom>
    </border>
    <border>
      <left/>
      <right style="thin">
        <color rgb="FF000000"/>
      </right>
      <top style="medium">
        <color rgb="FF000000"/>
      </top>
      <bottom/>
    </border>
    <border>
      <left style="thin">
        <color rgb="FF000000"/>
      </left>
      <right/>
      <top/>
      <bottom/>
    </border>
    <border>
      <left style="thin">
        <color rgb="FF000000"/>
      </left>
      <right style="thin">
        <color rgb="FF000000"/>
      </right>
      <top/>
      <bottom style="medium">
        <color rgb="FF000000"/>
      </bottom>
    </border>
    <border>
      <left/>
      <bottom style="medium">
        <color rgb="FF000000"/>
      </bottom>
    </border>
    <border>
      <right/>
      <bottom style="medium">
        <color rgb="FF000000"/>
      </bottom>
    </border>
    <border>
      <left style="thin">
        <color rgb="FF000000"/>
      </left>
      <right style="thin">
        <color rgb="FF000000"/>
      </right>
    </border>
    <border>
      <left style="medium">
        <color rgb="FF000000"/>
      </left>
      <top/>
    </border>
    <border>
      <right/>
    </border>
    <border>
      <left style="medium">
        <color rgb="FF000000"/>
      </left>
      <bottom/>
    </border>
    <border>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border>
    <border>
      <left/>
    </border>
    <border>
      <right style="thin">
        <color rgb="FF000000"/>
      </right>
    </border>
    <border>
      <right style="thin">
        <color rgb="FF000000"/>
      </right>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2">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5" fillId="2" fontId="2" numFmtId="0" xfId="0" applyBorder="1" applyFont="1"/>
    <xf borderId="5" fillId="2" fontId="3" numFmtId="0" xfId="0" applyBorder="1" applyFont="1"/>
    <xf borderId="5" fillId="2" fontId="4" numFmtId="0" xfId="0" applyBorder="1" applyFont="1"/>
    <xf borderId="5" fillId="2" fontId="5" numFmtId="0" xfId="0" applyBorder="1" applyFont="1"/>
    <xf borderId="5" fillId="2" fontId="6" numFmtId="0" xfId="0" applyBorder="1" applyFont="1"/>
    <xf borderId="5" fillId="2" fontId="6" numFmtId="0" xfId="0" applyAlignment="1" applyBorder="1" applyFont="1">
      <alignment shrinkToFit="0" wrapText="1"/>
    </xf>
    <xf borderId="7" fillId="2" fontId="7" numFmtId="0" xfId="0" applyAlignment="1" applyBorder="1" applyFont="1">
      <alignment horizontal="left"/>
    </xf>
    <xf borderId="8" fillId="0" fontId="8" numFmtId="0" xfId="0" applyBorder="1" applyFont="1"/>
    <xf borderId="9" fillId="0" fontId="8" numFmtId="0" xfId="0" applyBorder="1" applyFont="1"/>
    <xf borderId="7" fillId="2" fontId="9" numFmtId="0" xfId="0" applyBorder="1" applyFont="1"/>
    <xf borderId="5" fillId="2" fontId="10" numFmtId="0" xfId="0" applyAlignment="1" applyBorder="1" applyFont="1">
      <alignment vertical="center"/>
    </xf>
    <xf borderId="5" fillId="2" fontId="10" numFmtId="0" xfId="0" applyBorder="1" applyFont="1"/>
    <xf borderId="10" fillId="0" fontId="11" numFmtId="0" xfId="0" applyAlignment="1" applyBorder="1" applyFont="1">
      <alignment horizontal="center" shrinkToFit="0" vertical="center" wrapText="1"/>
    </xf>
    <xf borderId="11" fillId="0" fontId="8" numFmtId="0" xfId="0" applyBorder="1" applyFont="1"/>
    <xf borderId="12" fillId="0" fontId="8" numFmtId="0" xfId="0" applyBorder="1" applyFont="1"/>
    <xf borderId="13" fillId="0" fontId="8" numFmtId="0" xfId="0" applyBorder="1" applyFont="1"/>
    <xf borderId="14" fillId="0" fontId="8" numFmtId="0" xfId="0" applyBorder="1" applyFont="1"/>
    <xf borderId="15" fillId="0" fontId="8" numFmtId="0" xfId="0" applyBorder="1" applyFont="1"/>
    <xf borderId="16" fillId="0" fontId="8" numFmtId="0" xfId="0" applyBorder="1" applyFont="1"/>
    <xf borderId="17" fillId="0" fontId="8" numFmtId="0" xfId="0" applyBorder="1" applyFont="1"/>
    <xf borderId="18" fillId="2" fontId="1" numFmtId="0" xfId="0" applyBorder="1" applyFont="1"/>
    <xf borderId="19" fillId="2" fontId="1" numFmtId="0" xfId="0" applyBorder="1" applyFont="1"/>
    <xf borderId="20" fillId="2" fontId="1" numFmtId="0" xfId="0" applyBorder="1" applyFont="1"/>
    <xf borderId="21" fillId="3" fontId="12" numFmtId="0" xfId="0" applyAlignment="1" applyBorder="1" applyFill="1" applyFont="1">
      <alignment horizontal="left" vertical="center"/>
    </xf>
    <xf borderId="22" fillId="0" fontId="8" numFmtId="0" xfId="0" applyBorder="1" applyFont="1"/>
    <xf borderId="23" fillId="0" fontId="8" numFmtId="0" xfId="0" applyBorder="1" applyFont="1"/>
    <xf borderId="24" fillId="4" fontId="13" numFmtId="0" xfId="0" applyAlignment="1" applyBorder="1" applyFill="1" applyFont="1">
      <alignment horizontal="center" vertical="center"/>
    </xf>
    <xf borderId="5" fillId="4" fontId="14" numFmtId="0" xfId="0" applyBorder="1" applyFont="1"/>
    <xf borderId="5" fillId="4" fontId="15" numFmtId="0" xfId="0" applyBorder="1" applyFont="1"/>
    <xf borderId="0" fillId="0" fontId="15" numFmtId="0" xfId="0" applyFont="1"/>
    <xf borderId="5" fillId="5" fontId="1" numFmtId="0" xfId="0" applyBorder="1" applyFill="1" applyFont="1"/>
    <xf borderId="5" fillId="5" fontId="16" numFmtId="0" xfId="0" applyBorder="1" applyFont="1"/>
    <xf borderId="5" fillId="5" fontId="1" numFmtId="0" xfId="0" applyAlignment="1" applyBorder="1" applyFont="1">
      <alignment horizontal="center"/>
    </xf>
    <xf borderId="7" fillId="4" fontId="17" numFmtId="0" xfId="0" applyAlignment="1" applyBorder="1" applyFont="1">
      <alignment horizontal="center" vertical="center"/>
    </xf>
    <xf borderId="5" fillId="5" fontId="18" numFmtId="0" xfId="0" applyAlignment="1" applyBorder="1" applyFont="1">
      <alignment horizontal="left"/>
    </xf>
    <xf borderId="25" fillId="6" fontId="1" numFmtId="0" xfId="0" applyAlignment="1" applyBorder="1" applyFill="1" applyFont="1">
      <alignment horizontal="center"/>
    </xf>
    <xf borderId="0" fillId="0" fontId="1" numFmtId="0" xfId="0" applyAlignment="1" applyFont="1">
      <alignment horizontal="center"/>
    </xf>
    <xf borderId="5" fillId="5" fontId="18" numFmtId="14" xfId="0" applyAlignment="1" applyBorder="1" applyFont="1" applyNumberFormat="1">
      <alignment horizontal="left"/>
    </xf>
    <xf borderId="25" fillId="5" fontId="1" numFmtId="0" xfId="0" applyAlignment="1" applyBorder="1" applyFont="1">
      <alignment horizontal="center"/>
    </xf>
    <xf borderId="5" fillId="4" fontId="1" numFmtId="0" xfId="0" applyAlignment="1" applyBorder="1" applyFont="1">
      <alignment horizontal="center"/>
    </xf>
    <xf borderId="5" fillId="4" fontId="1" numFmtId="0" xfId="0" applyBorder="1" applyFont="1"/>
    <xf borderId="25" fillId="2" fontId="1" numFmtId="0" xfId="0" applyAlignment="1" applyBorder="1" applyFont="1">
      <alignment horizontal="center"/>
    </xf>
    <xf borderId="26" fillId="5" fontId="1" numFmtId="0" xfId="0" applyAlignment="1" applyBorder="1" applyFont="1">
      <alignment horizontal="left" shrinkToFit="0" vertical="center" wrapText="1"/>
    </xf>
    <xf borderId="27" fillId="0" fontId="8" numFmtId="0" xfId="0" applyBorder="1" applyFont="1"/>
    <xf borderId="25" fillId="3" fontId="19" numFmtId="0" xfId="0" applyAlignment="1" applyBorder="1" applyFont="1">
      <alignment horizontal="center"/>
    </xf>
    <xf borderId="28" fillId="0" fontId="8" numFmtId="0" xfId="0" applyBorder="1" applyFont="1"/>
    <xf borderId="29" fillId="0" fontId="8" numFmtId="0" xfId="0" applyBorder="1" applyFont="1"/>
    <xf borderId="30" fillId="7" fontId="20" numFmtId="0" xfId="0" applyBorder="1" applyFill="1" applyFont="1"/>
    <xf borderId="24" fillId="4" fontId="21" numFmtId="0" xfId="0" applyBorder="1" applyFont="1"/>
    <xf borderId="31" fillId="5" fontId="22" numFmtId="0" xfId="0" applyAlignment="1" applyBorder="1" applyFont="1">
      <alignment horizontal="left" shrinkToFit="0" wrapText="1"/>
    </xf>
    <xf borderId="32" fillId="0" fontId="8" numFmtId="0" xfId="0" applyBorder="1" applyFont="1"/>
    <xf borderId="24" fillId="5" fontId="23" numFmtId="0" xfId="0" applyAlignment="1" applyBorder="1" applyFont="1">
      <alignment shrinkToFit="0" wrapText="1"/>
    </xf>
    <xf borderId="24" fillId="5" fontId="1" numFmtId="0" xfId="0" applyBorder="1" applyFont="1"/>
    <xf borderId="33" fillId="5" fontId="1" numFmtId="0" xfId="0" applyBorder="1" applyFont="1"/>
    <xf borderId="34" fillId="4" fontId="20" numFmtId="0" xfId="0" applyBorder="1" applyFont="1"/>
    <xf borderId="5" fillId="4" fontId="21" numFmtId="0" xfId="0" applyBorder="1" applyFont="1"/>
    <xf borderId="35" fillId="0" fontId="8" numFmtId="0" xfId="0" applyBorder="1" applyFont="1"/>
    <xf borderId="36" fillId="0" fontId="8" numFmtId="0" xfId="0" applyBorder="1" applyFont="1"/>
    <xf borderId="5" fillId="5" fontId="24" numFmtId="0" xfId="0" applyAlignment="1" applyBorder="1" applyFont="1">
      <alignment horizontal="left" shrinkToFit="0" wrapText="1"/>
    </xf>
    <xf borderId="37" fillId="5" fontId="1" numFmtId="0" xfId="0" applyBorder="1" applyFont="1"/>
    <xf borderId="0" fillId="0" fontId="1" numFmtId="0" xfId="0" applyFont="1"/>
    <xf borderId="38" fillId="5" fontId="22" numFmtId="0" xfId="0" applyAlignment="1" applyBorder="1" applyFont="1">
      <alignment horizontal="left" shrinkToFit="0" vertical="top" wrapText="1"/>
    </xf>
    <xf borderId="5" fillId="5" fontId="21" numFmtId="0" xfId="0" applyBorder="1" applyFont="1"/>
    <xf borderId="7" fillId="5" fontId="25" numFmtId="0" xfId="0" applyAlignment="1" applyBorder="1" applyFont="1">
      <alignment horizontal="left"/>
    </xf>
    <xf borderId="5" fillId="5" fontId="26" numFmtId="0" xfId="0" applyAlignment="1" applyBorder="1" applyFont="1">
      <alignment horizontal="left"/>
    </xf>
    <xf borderId="39" fillId="0" fontId="8" numFmtId="0" xfId="0" applyBorder="1" applyFont="1"/>
    <xf borderId="40" fillId="0" fontId="8" numFmtId="0" xfId="0" applyBorder="1" applyFont="1"/>
    <xf borderId="34" fillId="5" fontId="27" numFmtId="0" xfId="0" applyAlignment="1" applyBorder="1" applyFont="1">
      <alignment shrinkToFit="0" vertical="top" wrapText="1"/>
    </xf>
    <xf borderId="5" fillId="5" fontId="28" numFmtId="0" xfId="0" applyBorder="1" applyFont="1"/>
    <xf borderId="5" fillId="5" fontId="21" numFmtId="0" xfId="0" applyAlignment="1" applyBorder="1" applyFont="1">
      <alignment horizontal="right" vertical="center"/>
    </xf>
    <xf borderId="34" fillId="5" fontId="1" numFmtId="0" xfId="0" applyBorder="1" applyFont="1"/>
    <xf borderId="5" fillId="5" fontId="1" numFmtId="0" xfId="0" applyAlignment="1" applyBorder="1" applyFont="1">
      <alignment horizontal="right" vertical="center"/>
    </xf>
    <xf borderId="41" fillId="2" fontId="29" numFmtId="0" xfId="0" applyAlignment="1" applyBorder="1" applyFont="1">
      <alignment horizontal="left" shrinkToFit="0" vertical="top" wrapText="1"/>
    </xf>
    <xf borderId="42" fillId="0" fontId="8" numFmtId="0" xfId="0" applyBorder="1" applyFont="1"/>
    <xf borderId="43" fillId="0" fontId="8" numFmtId="0" xfId="0" applyBorder="1" applyFont="1"/>
    <xf borderId="44" fillId="6" fontId="6" numFmtId="0" xfId="0" applyAlignment="1" applyBorder="1" applyFont="1">
      <alignment horizontal="center" vertical="top"/>
    </xf>
    <xf borderId="41" fillId="2" fontId="20" numFmtId="0" xfId="0" applyAlignment="1" applyBorder="1" applyFont="1">
      <alignment horizontal="left" shrinkToFit="0" wrapText="1"/>
    </xf>
    <xf borderId="45" fillId="6" fontId="6" numFmtId="0" xfId="0" applyAlignment="1" applyBorder="1" applyFont="1">
      <alignment horizontal="center" vertical="top"/>
    </xf>
    <xf borderId="46" fillId="5" fontId="30" numFmtId="0" xfId="0" applyAlignment="1" applyBorder="1" applyFont="1">
      <alignment horizontal="left" shrinkToFit="0" wrapText="1"/>
    </xf>
    <xf borderId="47" fillId="0" fontId="8" numFmtId="0" xfId="0" applyBorder="1" applyFont="1"/>
    <xf borderId="5" fillId="5" fontId="1" numFmtId="0" xfId="0" applyAlignment="1" applyBorder="1" applyFont="1">
      <alignment horizontal="center" vertical="center"/>
    </xf>
    <xf borderId="48" fillId="5" fontId="1" numFmtId="0" xfId="0" applyBorder="1" applyFont="1"/>
    <xf borderId="49" fillId="5" fontId="1" numFmtId="0" xfId="0" applyBorder="1" applyFont="1"/>
    <xf borderId="49" fillId="5" fontId="1" numFmtId="0" xfId="0" applyAlignment="1" applyBorder="1" applyFont="1">
      <alignment shrinkToFit="0" vertical="top" wrapText="1"/>
    </xf>
    <xf borderId="49" fillId="5" fontId="1" numFmtId="0" xfId="0" applyAlignment="1" applyBorder="1" applyFont="1">
      <alignment horizontal="center" vertical="center"/>
    </xf>
    <xf borderId="50" fillId="5" fontId="1" numFmtId="0" xfId="0" applyBorder="1" applyFont="1"/>
    <xf borderId="24" fillId="5" fontId="1" numFmtId="0" xfId="0" applyAlignment="1" applyBorder="1" applyFont="1">
      <alignment horizontal="right" vertical="center"/>
    </xf>
    <xf borderId="51" fillId="6" fontId="1" numFmtId="0" xfId="0" applyAlignment="1" applyBorder="1" applyFont="1">
      <alignment horizontal="center" vertical="center"/>
    </xf>
    <xf borderId="52" fillId="5" fontId="1" numFmtId="0" xfId="0" applyAlignment="1" applyBorder="1" applyFont="1">
      <alignment horizontal="center" vertical="center"/>
    </xf>
    <xf borderId="34" fillId="5" fontId="31" numFmtId="0" xfId="0" applyBorder="1" applyFont="1"/>
    <xf borderId="25" fillId="6" fontId="1" numFmtId="0" xfId="0" applyAlignment="1" applyBorder="1" applyFont="1">
      <alignment horizontal="center" vertical="center"/>
    </xf>
    <xf borderId="53" fillId="5" fontId="1" numFmtId="0" xfId="0" applyAlignment="1" applyBorder="1" applyFont="1">
      <alignment horizontal="center" vertical="center"/>
    </xf>
    <xf borderId="54" fillId="6" fontId="1" numFmtId="0" xfId="0" applyAlignment="1" applyBorder="1" applyFont="1">
      <alignment horizontal="center" vertical="center"/>
    </xf>
    <xf borderId="38" fillId="4" fontId="32" numFmtId="0" xfId="0" applyAlignment="1" applyBorder="1" applyFont="1">
      <alignment horizontal="left" shrinkToFit="0" wrapText="1"/>
    </xf>
    <xf borderId="54" fillId="4" fontId="1" numFmtId="0" xfId="0" applyAlignment="1" applyBorder="1" applyFont="1">
      <alignment horizontal="center" vertical="center"/>
    </xf>
    <xf borderId="55" fillId="5" fontId="1" numFmtId="0" xfId="0" applyAlignment="1" applyBorder="1" applyFont="1">
      <alignment horizontal="center" vertical="center"/>
    </xf>
    <xf borderId="49" fillId="5" fontId="1" numFmtId="0" xfId="0" applyAlignment="1" applyBorder="1" applyFont="1">
      <alignment horizontal="right" vertical="center"/>
    </xf>
    <xf borderId="56" fillId="4" fontId="1" numFmtId="0" xfId="0" applyAlignment="1" applyBorder="1" applyFont="1">
      <alignment horizontal="center" vertical="center"/>
    </xf>
    <xf borderId="57" fillId="5" fontId="1" numFmtId="0" xfId="0" applyAlignment="1" applyBorder="1" applyFont="1">
      <alignment horizontal="center" vertical="center"/>
    </xf>
    <xf borderId="24" fillId="7" fontId="1" numFmtId="0" xfId="0" applyBorder="1" applyFont="1"/>
    <xf borderId="24" fillId="4" fontId="1" numFmtId="0" xfId="0" applyAlignment="1" applyBorder="1" applyFont="1">
      <alignment horizontal="right" vertical="center"/>
    </xf>
    <xf borderId="51" fillId="4" fontId="1" numFmtId="0" xfId="0" applyAlignment="1" applyBorder="1" applyFont="1">
      <alignment horizontal="center" vertical="center"/>
    </xf>
    <xf borderId="58" fillId="4" fontId="1" numFmtId="0" xfId="0" applyAlignment="1" applyBorder="1" applyFont="1">
      <alignment horizontal="center" vertical="center"/>
    </xf>
    <xf borderId="34" fillId="5" fontId="33" numFmtId="0" xfId="0" applyBorder="1" applyFont="1"/>
    <xf borderId="25" fillId="0" fontId="1" numFmtId="2" xfId="0" applyAlignment="1" applyBorder="1" applyFont="1" applyNumberFormat="1">
      <alignment horizontal="center" vertical="center"/>
    </xf>
    <xf borderId="25" fillId="0" fontId="1" numFmtId="0" xfId="0" applyAlignment="1" applyBorder="1" applyFont="1">
      <alignment horizontal="center" vertical="center"/>
    </xf>
    <xf borderId="53" fillId="5" fontId="34" numFmtId="0" xfId="0" applyAlignment="1" applyBorder="1" applyFont="1">
      <alignment horizontal="center" vertical="center"/>
    </xf>
    <xf borderId="59" fillId="5" fontId="1" numFmtId="0" xfId="0" applyBorder="1" applyFont="1"/>
    <xf borderId="0" fillId="0" fontId="35" numFmtId="0" xfId="0" applyFont="1"/>
    <xf borderId="34" fillId="4" fontId="36" numFmtId="0" xfId="0" applyAlignment="1" applyBorder="1" applyFont="1">
      <alignment shrinkToFit="0" vertical="top" wrapText="1"/>
    </xf>
    <xf borderId="5" fillId="2" fontId="1" numFmtId="0" xfId="0" applyAlignment="1" applyBorder="1" applyFont="1">
      <alignment horizontal="right" vertical="center"/>
    </xf>
    <xf borderId="25" fillId="5" fontId="1" numFmtId="164" xfId="0" applyAlignment="1" applyBorder="1" applyFont="1" applyNumberFormat="1">
      <alignment horizontal="center" vertical="center"/>
    </xf>
    <xf borderId="5" fillId="6" fontId="1" numFmtId="0" xfId="0" applyBorder="1" applyFont="1"/>
    <xf borderId="5" fillId="6" fontId="1" numFmtId="0" xfId="0" applyAlignment="1" applyBorder="1" applyFont="1">
      <alignment horizontal="right" vertical="center"/>
    </xf>
    <xf borderId="5" fillId="8" fontId="1" numFmtId="0" xfId="0" applyBorder="1" applyFill="1" applyFont="1"/>
    <xf borderId="5" fillId="8" fontId="1" numFmtId="0" xfId="0" applyAlignment="1" applyBorder="1" applyFont="1">
      <alignment horizontal="right" vertical="center"/>
    </xf>
    <xf borderId="54" fillId="5" fontId="1" numFmtId="164" xfId="0" applyAlignment="1" applyBorder="1" applyFont="1" applyNumberFormat="1">
      <alignment horizontal="center" vertical="center"/>
    </xf>
    <xf borderId="57" fillId="5" fontId="1" numFmtId="0" xfId="0" applyAlignment="1" applyBorder="1" applyFont="1">
      <alignment horizontal="right" vertical="center"/>
    </xf>
    <xf borderId="60" fillId="5" fontId="1" numFmtId="0" xfId="0" applyAlignment="1" applyBorder="1" applyFont="1">
      <alignment horizontal="center" vertical="center"/>
    </xf>
    <xf borderId="24" fillId="5" fontId="1" numFmtId="0" xfId="0" applyAlignment="1" applyBorder="1" applyFont="1">
      <alignment horizontal="right"/>
    </xf>
    <xf borderId="5" fillId="5" fontId="1" numFmtId="0" xfId="0" applyAlignment="1" applyBorder="1" applyFont="1">
      <alignment horizontal="right"/>
    </xf>
    <xf borderId="25" fillId="2" fontId="1" numFmtId="0" xfId="0" applyAlignment="1" applyBorder="1" applyFont="1">
      <alignment horizontal="center" vertical="center"/>
    </xf>
    <xf borderId="0" fillId="0" fontId="33" numFmtId="0" xfId="0" applyFont="1"/>
    <xf borderId="34" fillId="5" fontId="1" numFmtId="0" xfId="0" applyAlignment="1" applyBorder="1" applyFont="1">
      <alignment shrinkToFit="0" wrapText="1"/>
    </xf>
    <xf borderId="34" fillId="5" fontId="37" numFmtId="0" xfId="0" applyAlignment="1" applyBorder="1" applyFont="1">
      <alignment shrinkToFit="0" vertical="top" wrapText="1"/>
    </xf>
    <xf borderId="34" fillId="4" fontId="38" numFmtId="0" xfId="0" applyAlignment="1" applyBorder="1" applyFont="1">
      <alignment horizontal="left"/>
    </xf>
    <xf borderId="38" fillId="5" fontId="37" numFmtId="0" xfId="0" applyAlignment="1" applyBorder="1" applyFont="1">
      <alignment horizontal="left" shrinkToFit="0" vertical="top" wrapText="1"/>
    </xf>
    <xf borderId="25" fillId="0" fontId="1" numFmtId="164" xfId="0" applyAlignment="1" applyBorder="1" applyFont="1" applyNumberFormat="1">
      <alignment horizontal="center" vertical="center"/>
    </xf>
    <xf borderId="25" fillId="6" fontId="1" numFmtId="2" xfId="0" applyAlignment="1" applyBorder="1" applyFont="1" applyNumberFormat="1">
      <alignment horizontal="center" vertical="center"/>
    </xf>
    <xf borderId="25" fillId="4" fontId="1" numFmtId="2" xfId="0" applyAlignment="1" applyBorder="1" applyFont="1" applyNumberFormat="1">
      <alignment horizontal="center" vertical="center"/>
    </xf>
    <xf borderId="46" fillId="5" fontId="39" numFmtId="0" xfId="0" applyAlignment="1" applyBorder="1" applyFont="1">
      <alignment horizontal="left" shrinkToFit="0" vertical="top" wrapText="1"/>
    </xf>
    <xf borderId="61" fillId="0" fontId="8" numFmtId="0" xfId="0" applyBorder="1" applyFont="1"/>
    <xf borderId="62" fillId="0" fontId="8" numFmtId="0" xfId="0" applyBorder="1" applyFont="1"/>
    <xf borderId="13" fillId="0" fontId="1" numFmtId="0" xfId="0" applyBorder="1" applyFont="1"/>
    <xf borderId="25" fillId="5" fontId="1" numFmtId="2" xfId="0" applyAlignment="1" applyBorder="1" applyFont="1" applyNumberFormat="1">
      <alignment horizontal="center" vertical="center"/>
    </xf>
    <xf borderId="25" fillId="5" fontId="1" numFmtId="9" xfId="0" applyAlignment="1" applyBorder="1" applyFont="1" applyNumberFormat="1">
      <alignment horizontal="center" vertical="center"/>
    </xf>
    <xf borderId="5" fillId="4" fontId="1" numFmtId="0" xfId="0" applyAlignment="1" applyBorder="1" applyFont="1">
      <alignment horizontal="right" vertical="center"/>
    </xf>
    <xf borderId="5" fillId="4" fontId="1" numFmtId="0" xfId="0" applyAlignment="1" applyBorder="1" applyFont="1">
      <alignment horizontal="right"/>
    </xf>
    <xf borderId="34" fillId="4" fontId="40" numFmtId="0" xfId="0" applyBorder="1" applyFont="1"/>
    <xf borderId="0" fillId="0" fontId="1" numFmtId="0" xfId="0" applyAlignment="1" applyFont="1">
      <alignment horizontal="right"/>
    </xf>
    <xf borderId="63" fillId="0" fontId="1" numFmtId="0" xfId="0" applyAlignment="1" applyBorder="1" applyFont="1">
      <alignment horizontal="center"/>
    </xf>
    <xf borderId="64" fillId="5" fontId="39" numFmtId="0" xfId="0" applyAlignment="1" applyBorder="1" applyFont="1">
      <alignment horizontal="left" shrinkToFit="0" vertical="top" wrapText="1"/>
    </xf>
    <xf borderId="65" fillId="0" fontId="8" numFmtId="0" xfId="0" applyBorder="1" applyFont="1"/>
    <xf borderId="66" fillId="0" fontId="8" numFmtId="0" xfId="0" applyBorder="1" applyFont="1"/>
    <xf borderId="25" fillId="5" fontId="1" numFmtId="1" xfId="0" applyAlignment="1" applyBorder="1" applyFont="1" applyNumberFormat="1">
      <alignment horizontal="center" vertical="center"/>
    </xf>
    <xf borderId="58" fillId="5" fontId="1" numFmtId="0" xfId="0" applyAlignment="1" applyBorder="1" applyFont="1">
      <alignment horizontal="center" vertical="center"/>
    </xf>
    <xf borderId="55" fillId="5" fontId="1" numFmtId="0" xfId="0" applyAlignment="1" applyBorder="1" applyFont="1">
      <alignment horizontal="right" vertical="center"/>
    </xf>
    <xf borderId="53" fillId="5" fontId="1" numFmtId="0" xfId="0" applyAlignment="1" applyBorder="1" applyFont="1">
      <alignment horizontal="right" vertical="center"/>
    </xf>
    <xf borderId="67" fillId="5" fontId="1" numFmtId="2" xfId="0" applyAlignment="1" applyBorder="1" applyFont="1" applyNumberFormat="1">
      <alignment horizontal="center" vertical="center"/>
    </xf>
    <xf borderId="0" fillId="0" fontId="41" numFmtId="0" xfId="0" applyFont="1"/>
    <xf borderId="5" fillId="5" fontId="39" numFmtId="0" xfId="0" applyBorder="1" applyFont="1"/>
    <xf borderId="55" fillId="5" fontId="1" numFmtId="0" xfId="0" applyAlignment="1" applyBorder="1" applyFont="1">
      <alignment horizontal="center"/>
    </xf>
    <xf borderId="5" fillId="5" fontId="33" numFmtId="0" xfId="0" applyAlignment="1" applyBorder="1" applyFont="1">
      <alignment horizontal="right"/>
    </xf>
    <xf borderId="5" fillId="5" fontId="33" numFmtId="0" xfId="0" applyAlignment="1" applyBorder="1" applyFont="1">
      <alignment horizontal="center"/>
    </xf>
    <xf borderId="68" fillId="5" fontId="1" numFmtId="2" xfId="0" applyAlignment="1" applyBorder="1" applyFont="1" applyNumberFormat="1">
      <alignment horizontal="center" vertical="center"/>
    </xf>
    <xf borderId="51" fillId="5" fontId="1" numFmtId="2" xfId="0" applyAlignment="1" applyBorder="1" applyFont="1" applyNumberFormat="1">
      <alignment horizontal="center" vertical="center"/>
    </xf>
    <xf borderId="69" fillId="5" fontId="1" numFmtId="2" xfId="0" applyAlignment="1" applyBorder="1" applyFont="1" applyNumberFormat="1">
      <alignment horizontal="center" vertical="center"/>
    </xf>
    <xf borderId="70" fillId="5" fontId="1" numFmtId="2" xfId="0" applyAlignment="1" applyBorder="1" applyFont="1" applyNumberFormat="1">
      <alignment horizontal="center" vertical="center"/>
    </xf>
    <xf borderId="71" fillId="5" fontId="1" numFmtId="2" xfId="0" applyAlignment="1" applyBorder="1" applyFont="1" applyNumberFormat="1">
      <alignment horizontal="center" vertical="center"/>
    </xf>
    <xf borderId="72" fillId="5" fontId="1" numFmtId="2" xfId="0" applyAlignment="1" applyBorder="1" applyFont="1" applyNumberFormat="1">
      <alignment horizontal="center" vertical="center"/>
    </xf>
    <xf borderId="56" fillId="5" fontId="1" numFmtId="2" xfId="0" applyAlignment="1" applyBorder="1" applyFont="1" applyNumberFormat="1">
      <alignment horizontal="center" vertical="center"/>
    </xf>
    <xf borderId="73" fillId="5" fontId="1" numFmtId="2" xfId="0" applyAlignment="1" applyBorder="1" applyFont="1" applyNumberFormat="1">
      <alignment horizontal="center" vertical="center"/>
    </xf>
    <xf borderId="46" fillId="5" fontId="39" numFmtId="0" xfId="0" applyAlignment="1" applyBorder="1" applyFont="1">
      <alignment horizontal="left" shrinkToFit="0" wrapText="1"/>
    </xf>
    <xf borderId="74" fillId="0" fontId="8" numFmtId="0" xfId="0" applyBorder="1" applyFont="1"/>
    <xf borderId="75" fillId="0" fontId="8" numFmtId="0" xfId="0" applyBorder="1" applyFont="1"/>
    <xf borderId="76" fillId="0" fontId="8" numFmtId="0" xfId="0" applyBorder="1" applyFont="1"/>
    <xf borderId="77" fillId="0" fontId="8" numFmtId="0" xfId="0" applyBorder="1" applyFont="1"/>
    <xf borderId="76" fillId="0" fontId="1" numFmtId="0" xfId="0" applyAlignment="1" applyBorder="1" applyFont="1">
      <alignment horizontal="center"/>
    </xf>
    <xf borderId="24" fillId="5" fontId="29" numFmtId="0" xfId="0" applyAlignment="1" applyBorder="1" applyFont="1">
      <alignment horizontal="right" vertical="center"/>
    </xf>
    <xf borderId="51" fillId="5" fontId="1" numFmtId="0" xfId="0" applyAlignment="1" applyBorder="1" applyFont="1">
      <alignment horizontal="center" vertical="center"/>
    </xf>
    <xf borderId="5" fillId="5" fontId="29" numFmtId="0" xfId="0" applyAlignment="1" applyBorder="1" applyFont="1">
      <alignment horizontal="right" vertical="center"/>
    </xf>
    <xf borderId="78" fillId="5" fontId="1" numFmtId="0" xfId="0" applyAlignment="1" applyBorder="1" applyFont="1">
      <alignment horizontal="center" vertical="center"/>
    </xf>
    <xf borderId="37" fillId="4" fontId="1" numFmtId="0" xfId="0" applyBorder="1" applyFont="1"/>
    <xf borderId="25" fillId="5" fontId="1" numFmtId="0" xfId="0" applyAlignment="1" applyBorder="1" applyFont="1">
      <alignment horizontal="center" vertical="center"/>
    </xf>
    <xf borderId="5" fillId="5" fontId="33" numFmtId="0" xfId="0" applyAlignment="1" applyBorder="1" applyFont="1">
      <alignment horizontal="left"/>
    </xf>
    <xf borderId="5" fillId="5" fontId="33" numFmtId="0" xfId="0" applyBorder="1" applyFont="1"/>
    <xf borderId="37" fillId="5" fontId="33" numFmtId="0" xfId="0" applyAlignment="1" applyBorder="1" applyFont="1">
      <alignment horizontal="left"/>
    </xf>
    <xf borderId="51" fillId="5" fontId="1" numFmtId="164" xfId="0" applyAlignment="1" applyBorder="1" applyFont="1" applyNumberFormat="1">
      <alignment horizontal="center"/>
    </xf>
    <xf borderId="25" fillId="5" fontId="1" numFmtId="1" xfId="0" applyAlignment="1" applyBorder="1" applyFont="1" applyNumberFormat="1">
      <alignment horizontal="center"/>
    </xf>
    <xf borderId="70" fillId="5" fontId="1" numFmtId="164" xfId="0" applyAlignment="1" applyBorder="1" applyFont="1" applyNumberFormat="1">
      <alignment horizontal="center"/>
    </xf>
    <xf borderId="25" fillId="5" fontId="1" numFmtId="2" xfId="0" applyAlignment="1" applyBorder="1" applyFont="1" applyNumberFormat="1">
      <alignment horizontal="center"/>
    </xf>
    <xf borderId="54" fillId="5" fontId="1" numFmtId="0" xfId="0" applyAlignment="1" applyBorder="1" applyFont="1">
      <alignment horizontal="center" vertical="center"/>
    </xf>
    <xf borderId="25" fillId="5" fontId="1" numFmtId="164" xfId="0" applyAlignment="1" applyBorder="1" applyFont="1" applyNumberFormat="1">
      <alignment horizontal="center"/>
    </xf>
    <xf borderId="54" fillId="5" fontId="1" numFmtId="1" xfId="0" applyAlignment="1" applyBorder="1" applyFont="1" applyNumberFormat="1">
      <alignment horizontal="center" vertical="center"/>
    </xf>
    <xf borderId="54" fillId="5" fontId="1" numFmtId="2" xfId="0" applyAlignment="1" applyBorder="1" applyFont="1" applyNumberFormat="1">
      <alignment horizontal="center" vertical="center"/>
    </xf>
    <xf borderId="54" fillId="5" fontId="1" numFmtId="165" xfId="0" applyAlignment="1" applyBorder="1" applyFont="1" applyNumberFormat="1">
      <alignment horizontal="center"/>
    </xf>
    <xf borderId="25" fillId="5" fontId="42" numFmtId="1" xfId="0" applyAlignment="1" applyBorder="1" applyFont="1" applyNumberFormat="1">
      <alignment horizontal="center" vertical="center"/>
    </xf>
    <xf borderId="5" fillId="5" fontId="1" numFmtId="165" xfId="0" applyAlignment="1" applyBorder="1" applyFont="1" applyNumberFormat="1">
      <alignment horizontal="right"/>
    </xf>
    <xf borderId="25" fillId="5" fontId="1" numFmtId="165" xfId="0" applyAlignment="1" applyBorder="1" applyFont="1" applyNumberFormat="1">
      <alignment horizontal="center"/>
    </xf>
    <xf borderId="25" fillId="5" fontId="42" numFmtId="1" xfId="0" applyAlignment="1" applyBorder="1" applyFont="1" applyNumberFormat="1">
      <alignment horizontal="center" readingOrder="0" vertical="center"/>
    </xf>
    <xf borderId="51" fillId="6" fontId="42" numFmtId="0" xfId="0" applyAlignment="1" applyBorder="1" applyFont="1">
      <alignment horizontal="center" vertical="center"/>
    </xf>
    <xf borderId="25" fillId="5" fontId="1" numFmtId="1" xfId="0" applyAlignment="1" applyBorder="1" applyFont="1" applyNumberFormat="1">
      <alignment horizontal="center" readingOrder="0" vertical="center"/>
    </xf>
    <xf borderId="5" fillId="5" fontId="1" numFmtId="165" xfId="0" applyAlignment="1" applyBorder="1" applyFont="1" applyNumberFormat="1">
      <alignment horizontal="center"/>
    </xf>
    <xf borderId="5" fillId="5" fontId="1" numFmtId="1" xfId="0" applyAlignment="1" applyBorder="1" applyFont="1" applyNumberFormat="1">
      <alignment horizontal="center" vertical="center"/>
    </xf>
    <xf borderId="34" fillId="5" fontId="1" numFmtId="0" xfId="0" applyAlignment="1" applyBorder="1" applyFont="1">
      <alignment horizontal="right"/>
    </xf>
    <xf borderId="5" fillId="5" fontId="1" numFmtId="0" xfId="0" applyAlignment="1" applyBorder="1" applyFont="1">
      <alignment horizontal="left"/>
    </xf>
    <xf borderId="5" fillId="5" fontId="1" numFmtId="14" xfId="0" applyAlignment="1" applyBorder="1" applyFont="1" applyNumberFormat="1">
      <alignment horizontal="center"/>
    </xf>
    <xf borderId="49" fillId="5" fontId="1" numFmtId="0" xfId="0" applyAlignment="1" applyBorder="1" applyFont="1">
      <alignment horizontal="left"/>
    </xf>
    <xf borderId="49" fillId="5" fontId="1" numFmtId="0" xfId="0" applyAlignment="1" applyBorder="1" applyFont="1">
      <alignment horizontal="center"/>
    </xf>
    <xf borderId="5" fillId="5" fontId="31" numFmtId="0" xfId="0" applyBorder="1" applyFont="1"/>
    <xf borderId="5" fillId="5" fontId="20" numFmtId="0" xfId="0" applyBorder="1" applyFont="1"/>
    <xf borderId="0" fillId="0" fontId="1" numFmtId="11" xfId="0" applyAlignment="1" applyFont="1" applyNumberFormat="1">
      <alignment horizontal="center"/>
    </xf>
    <xf borderId="0" fillId="0" fontId="1" numFmtId="0" xfId="0" applyAlignment="1" applyFont="1">
      <alignment horizontal="left"/>
    </xf>
    <xf borderId="0" fillId="0" fontId="1" numFmtId="1" xfId="0" applyFont="1" applyNumberFormat="1"/>
    <xf borderId="0" fillId="0" fontId="1" numFmtId="166" xfId="0" applyFont="1" applyNumberFormat="1"/>
    <xf borderId="0" fillId="0" fontId="35" numFmtId="11" xfId="0" applyFont="1" applyNumberFormat="1"/>
    <xf borderId="0" fillId="0" fontId="19" numFmtId="0" xfId="0" applyFont="1"/>
    <xf borderId="0" fillId="0" fontId="1" numFmtId="2" xfId="0" applyFont="1" applyNumberFormat="1"/>
    <xf borderId="0" fillId="0" fontId="1" numFmtId="0" xfId="0" applyAlignment="1" applyFont="1">
      <alignment horizontal="center" vertical="center"/>
    </xf>
    <xf borderId="0" fillId="0" fontId="1" numFmtId="2" xfId="0" applyAlignment="1" applyFont="1" applyNumberFormat="1">
      <alignment horizontal="center" vertical="center"/>
    </xf>
    <xf borderId="0" fillId="0" fontId="1" numFmtId="11" xfId="0" applyFont="1" applyNumberFormat="1"/>
    <xf borderId="0" fillId="0" fontId="1" numFmtId="11" xfId="0" applyAlignment="1" applyFont="1" applyNumberFormat="1">
      <alignment horizontal="center" vertical="center"/>
    </xf>
    <xf borderId="0" fillId="0" fontId="43" numFmtId="0" xfId="0" applyAlignment="1" applyFont="1">
      <alignment horizontal="center"/>
    </xf>
    <xf borderId="0" fillId="0" fontId="33" numFmtId="0" xfId="0" applyAlignment="1" applyFont="1">
      <alignment horizontal="center"/>
    </xf>
    <xf borderId="0" fillId="0" fontId="1" numFmtId="167" xfId="0" applyAlignment="1" applyFont="1" applyNumberFormat="1">
      <alignment horizontal="center"/>
    </xf>
    <xf borderId="0" fillId="0" fontId="1" numFmtId="165" xfId="0" applyAlignment="1" applyFont="1" applyNumberFormat="1">
      <alignment horizontal="center"/>
    </xf>
    <xf borderId="0" fillId="0" fontId="1" numFmtId="10" xfId="0" applyFont="1" applyNumberFormat="1"/>
    <xf borderId="0" fillId="0" fontId="1" numFmtId="2" xfId="0" applyAlignment="1" applyFont="1" applyNumberFormat="1">
      <alignment horizontal="center"/>
    </xf>
    <xf borderId="79" fillId="0" fontId="1" numFmtId="0" xfId="0" applyBorder="1" applyFont="1"/>
    <xf borderId="80" fillId="0" fontId="1" numFmtId="0" xfId="0" applyBorder="1" applyFont="1"/>
    <xf borderId="81" fillId="0" fontId="1" numFmtId="0" xfId="0" applyAlignment="1" applyBorder="1" applyFont="1">
      <alignment horizontal="right"/>
    </xf>
    <xf borderId="82" fillId="0" fontId="1" numFmtId="0" xfId="0" applyBorder="1" applyFont="1"/>
    <xf borderId="76" fillId="0" fontId="1" numFmtId="0" xfId="0" applyAlignment="1" applyBorder="1" applyFont="1">
      <alignment horizontal="right"/>
    </xf>
    <xf borderId="83" fillId="0" fontId="1" numFmtId="0" xfId="0" applyBorder="1" applyFont="1"/>
    <xf borderId="84" fillId="0" fontId="1" numFmtId="0" xfId="0" applyBorder="1" applyFont="1"/>
    <xf borderId="85" fillId="0" fontId="1" numFmtId="0" xfId="0" applyAlignment="1" applyBorder="1" applyFont="1">
      <alignment horizontal="right"/>
    </xf>
    <xf borderId="25" fillId="0" fontId="1" numFmtId="0" xfId="0" applyAlignment="1" applyBorder="1" applyFont="1">
      <alignment horizontal="center"/>
    </xf>
    <xf borderId="82" fillId="0" fontId="1" numFmtId="0" xfId="0" applyAlignment="1" applyBorder="1" applyFont="1">
      <alignment horizontal="center"/>
    </xf>
    <xf borderId="25" fillId="0" fontId="1" numFmtId="2" xfId="0" applyAlignment="1" applyBorder="1" applyFont="1" applyNumberFormat="1">
      <alignment horizontal="center"/>
    </xf>
    <xf borderId="86" fillId="0" fontId="1" numFmtId="0" xfId="0" applyAlignment="1" applyBorder="1" applyFont="1">
      <alignment horizontal="center"/>
    </xf>
    <xf borderId="87" fillId="0" fontId="1" numFmtId="0" xfId="0" applyAlignment="1" applyBorder="1" applyFont="1">
      <alignment horizontal="center"/>
    </xf>
    <xf borderId="88" fillId="0" fontId="1" numFmtId="0" xfId="0" applyAlignment="1" applyBorder="1" applyFont="1">
      <alignment horizontal="center"/>
    </xf>
    <xf borderId="0" fillId="0" fontId="44" numFmtId="0" xfId="0" applyFont="1"/>
    <xf borderId="0" fillId="0" fontId="1" numFmtId="164" xfId="0" applyFont="1" applyNumberFormat="1"/>
    <xf borderId="0" fillId="0" fontId="1" numFmtId="167" xfId="0" applyFont="1" applyNumberFormat="1"/>
    <xf borderId="0" fillId="0" fontId="45" numFmtId="0" xfId="0" applyFont="1"/>
    <xf borderId="0" fillId="0" fontId="1" numFmtId="164" xfId="0" applyAlignment="1" applyFont="1" applyNumberFormat="1">
      <alignment horizontal="center"/>
    </xf>
    <xf borderId="13" fillId="0" fontId="1" numFmtId="2" xfId="0" applyAlignment="1" applyBorder="1" applyFont="1" applyNumberFormat="1">
      <alignment horizontal="center"/>
    </xf>
    <xf borderId="87" fillId="0" fontId="46" numFmtId="0" xfId="0" applyAlignment="1" applyBorder="1" applyFont="1">
      <alignment horizontal="center"/>
    </xf>
    <xf borderId="89" fillId="0" fontId="8" numFmtId="0" xfId="0" applyBorder="1" applyFont="1"/>
    <xf borderId="25" fillId="0" fontId="1" numFmtId="0" xfId="0" applyBorder="1" applyFont="1"/>
    <xf borderId="86" fillId="0" fontId="1" numFmtId="0" xfId="0" applyBorder="1" applyFont="1"/>
    <xf borderId="79" fillId="0" fontId="1" numFmtId="0" xfId="0" applyAlignment="1" applyBorder="1" applyFont="1">
      <alignment horizontal="center"/>
    </xf>
    <xf borderId="80" fillId="0" fontId="8" numFmtId="0" xfId="0" applyBorder="1" applyFont="1"/>
    <xf borderId="81" fillId="0" fontId="8" numFmtId="0" xfId="0" applyBorder="1" applyFont="1"/>
    <xf borderId="25" fillId="0" fontId="1" numFmtId="2" xfId="0" applyBorder="1" applyFont="1" applyNumberFormat="1"/>
    <xf borderId="0" fillId="0" fontId="47" numFmtId="0" xfId="0" applyAlignment="1" applyFont="1">
      <alignment horizontal="center"/>
    </xf>
    <xf borderId="0" fillId="0" fontId="48" numFmtId="0" xfId="0" applyAlignment="1" applyFont="1">
      <alignment horizontal="left"/>
    </xf>
    <xf borderId="0" fillId="0" fontId="49" numFmtId="0" xfId="0" applyAlignment="1" applyFont="1">
      <alignment horizontal="center"/>
    </xf>
    <xf borderId="0" fillId="0" fontId="35" numFmtId="2" xfId="0" applyFont="1" applyNumberFormat="1"/>
    <xf borderId="0" fillId="0" fontId="35" numFmtId="167" xfId="0" applyFont="1" applyNumberFormat="1"/>
    <xf borderId="0" fillId="0" fontId="35" numFmtId="164" xfId="0" applyFont="1" applyNumberFormat="1"/>
    <xf borderId="0" fillId="0" fontId="1" numFmtId="2" xfId="0" applyAlignment="1" applyFont="1" applyNumberFormat="1">
      <alignment horizontal="left"/>
    </xf>
    <xf borderId="0" fillId="0" fontId="50" numFmtId="2" xfId="0" applyAlignment="1" applyFont="1" applyNumberFormat="1">
      <alignment horizontal="center"/>
    </xf>
    <xf borderId="5" fillId="9" fontId="51" numFmtId="0" xfId="0" applyBorder="1" applyFill="1" applyFont="1"/>
  </cellXfs>
  <cellStyles count="1">
    <cellStyle xfId="0" name="Normal" builtinId="0"/>
  </cellStyles>
  <dxfs count="10">
    <dxf>
      <font/>
      <fill>
        <patternFill patternType="solid">
          <fgColor rgb="FFFF0000"/>
          <bgColor rgb="FFFF0000"/>
        </patternFill>
      </fill>
      <border/>
    </dxf>
    <dxf>
      <font>
        <color rgb="FFFFFFFF"/>
      </font>
      <fill>
        <patternFill patternType="solid">
          <fgColor rgb="FFFFFFFF"/>
          <bgColor rgb="FFFFFFFF"/>
        </patternFill>
      </fill>
      <border/>
    </dxf>
    <dxf>
      <font>
        <color rgb="FFFFFFFF"/>
      </font>
      <fill>
        <patternFill patternType="solid">
          <fgColor rgb="FFFFFFFF"/>
          <bgColor rgb="FFFFFFFF"/>
        </patternFill>
      </fill>
      <border>
        <bottom style="thin">
          <color rgb="FF000000"/>
        </bottom>
      </border>
    </dxf>
    <dxf>
      <font>
        <color rgb="FFFFFFFF"/>
      </font>
      <fill>
        <patternFill patternType="solid">
          <fgColor rgb="FFFFFFFF"/>
          <bgColor rgb="FFFFFFFF"/>
        </patternFill>
      </fill>
      <border>
        <top style="thin">
          <color rgb="FF000000"/>
        </top>
        <bottom style="thin">
          <color rgb="FF000000"/>
        </bottom>
      </border>
    </dxf>
    <dxf>
      <font>
        <color rgb="FFFFFFFF"/>
      </font>
      <fill>
        <patternFill patternType="solid">
          <fgColor rgb="FFFFFFFF"/>
          <bgColor rgb="FFFFFFFF"/>
        </patternFill>
      </fill>
      <border>
        <top style="thin">
          <color rgb="FF000000"/>
        </top>
      </border>
    </dxf>
    <dxf>
      <font/>
      <fill>
        <patternFill patternType="solid">
          <fgColor rgb="FFFFFF00"/>
          <bgColor rgb="FFFFFF00"/>
        </patternFill>
      </fill>
      <border/>
    </dxf>
    <dxf>
      <font>
        <color theme="0"/>
      </font>
      <fill>
        <patternFill patternType="none"/>
      </fill>
      <border/>
    </dxf>
    <dxf>
      <font/>
      <fill>
        <patternFill patternType="solid">
          <fgColor rgb="FF953734"/>
          <bgColor rgb="FF953734"/>
        </patternFill>
      </fill>
      <border/>
    </dxf>
    <dxf>
      <font>
        <color theme="0"/>
      </font>
      <fill>
        <patternFill patternType="solid">
          <fgColor theme="0"/>
          <bgColor theme="0"/>
        </patternFill>
      </fill>
      <border/>
    </dxf>
    <dxf>
      <font>
        <strike/>
        <color rgb="FFBFBFBF"/>
      </font>
      <fill>
        <patternFill patternType="none"/>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267237229923697"/>
          <c:y val="0.10613723813134238"/>
          <c:w val="0.8314406977925989"/>
          <c:h val="0.7691692928763956"/>
        </c:manualLayout>
      </c:layout>
      <c:scatterChart>
        <c:scatterStyle val="lineMarker"/>
        <c:ser>
          <c:idx val="0"/>
          <c:order val="0"/>
          <c:tx>
            <c:v>Tem Derated FET SOA</c:v>
          </c:tx>
          <c:spPr>
            <a:ln>
              <a:noFill/>
            </a:ln>
          </c:spPr>
          <c:marker>
            <c:symbol val="circle"/>
            <c:size val="7"/>
            <c:spPr>
              <a:solidFill>
                <a:schemeClr val="accent1"/>
              </a:solidFill>
              <a:ln cmpd="sng">
                <a:solidFill>
                  <a:schemeClr val="accent1"/>
                </a:solidFill>
              </a:ln>
            </c:spPr>
          </c:marker>
          <c:xVal>
            <c:numRef>
              <c:f>Equations!$R$193:$R$272</c:f>
            </c:numRef>
          </c:xVal>
          <c:yVal>
            <c:numRef>
              <c:f>Equations!$V$193:$V$272</c:f>
              <c:numCache/>
            </c:numRef>
          </c:yVal>
        </c:ser>
        <c:ser>
          <c:idx val="1"/>
          <c:order val="1"/>
          <c:tx>
            <c:v>Typ Device SOA Limit</c:v>
          </c:tx>
          <c:spPr>
            <a:ln>
              <a:noFill/>
            </a:ln>
          </c:spPr>
          <c:marker>
            <c:symbol val="circle"/>
            <c:size val="7"/>
            <c:spPr>
              <a:solidFill>
                <a:schemeClr val="accent2"/>
              </a:solidFill>
              <a:ln cmpd="sng">
                <a:solidFill>
                  <a:schemeClr val="accent2"/>
                </a:solidFill>
              </a:ln>
            </c:spPr>
          </c:marker>
          <c:xVal>
            <c:numRef>
              <c:f>Equations!$R$193:$R$272</c:f>
            </c:numRef>
          </c:xVal>
          <c:yVal>
            <c:numRef>
              <c:f>Equations!$T$193:$T$272</c:f>
              <c:numCache/>
            </c:numRef>
          </c:yVal>
        </c:ser>
        <c:dLbls>
          <c:showLegendKey val="0"/>
          <c:showVal val="0"/>
          <c:showCatName val="0"/>
          <c:showSerName val="0"/>
          <c:showPercent val="0"/>
          <c:showBubbleSize val="0"/>
        </c:dLbls>
        <c:axId val="384046505"/>
        <c:axId val="1087296827"/>
      </c:scatterChart>
      <c:valAx>
        <c:axId val="384046505"/>
        <c:scaling>
          <c:orientation val="minMax"/>
          <c:max val="1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VDS - Drain-to-Source Voltage - V</a:t>
                </a:r>
              </a:p>
            </c:rich>
          </c:tx>
          <c:layout>
            <c:manualLayout>
              <c:xMode val="edge"/>
              <c:yMode val="edge"/>
              <c:x val="0.37459064370200507"/>
              <c:y val="0.9402946152073602"/>
            </c:manualLayout>
          </c:layout>
          <c:overlay val="0"/>
        </c:title>
        <c:numFmt formatCode="General" sourceLinked="1"/>
        <c:majorTickMark val="none"/>
        <c:minorTickMark val="none"/>
        <c:tickLblPos val="nextTo"/>
        <c:spPr>
          <a:ln/>
        </c:spPr>
        <c:txPr>
          <a:bodyPr rot="0"/>
          <a:lstStyle/>
          <a:p>
            <a:pPr lvl="0">
              <a:defRPr b="0" i="0" sz="900">
                <a:solidFill>
                  <a:srgbClr val="000000"/>
                </a:solidFill>
                <a:latin typeface="Arial"/>
              </a:defRPr>
            </a:pPr>
          </a:p>
        </c:txPr>
        <c:crossAx val="1087296827"/>
      </c:valAx>
      <c:valAx>
        <c:axId val="1087296827"/>
        <c:scaling>
          <c:orientation val="minMax"/>
          <c:max val="1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IDS - Drain-to-Source Current - A</a:t>
                </a:r>
              </a:p>
            </c:rich>
          </c:tx>
          <c:layout>
            <c:manualLayout>
              <c:xMode val="edge"/>
              <c:yMode val="edge"/>
              <c:x val="0.020103885280763262"/>
              <c:y val="0.214978607126164"/>
            </c:manualLayout>
          </c:layout>
          <c:overlay val="0"/>
        </c:title>
        <c:numFmt formatCode="General" sourceLinked="0"/>
        <c:majorTickMark val="none"/>
        <c:minorTickMark val="none"/>
        <c:tickLblPos val="nextTo"/>
        <c:spPr>
          <a:ln/>
        </c:spPr>
        <c:txPr>
          <a:bodyPr rot="0"/>
          <a:lstStyle/>
          <a:p>
            <a:pPr lvl="0">
              <a:defRPr b="0" i="0" sz="900">
                <a:solidFill>
                  <a:srgbClr val="000000"/>
                </a:solidFill>
                <a:latin typeface="Arial"/>
              </a:defRPr>
            </a:pPr>
          </a:p>
        </c:txPr>
        <c:crossAx val="384046505"/>
      </c:valAx>
      <c:spPr>
        <a:solidFill>
          <a:srgbClr val="FFFFFF"/>
        </a:solidFill>
      </c:spPr>
    </c:plotArea>
    <c:legend>
      <c:legendPos val="r"/>
      <c:layout>
        <c:manualLayout>
          <c:xMode val="edge"/>
          <c:yMode val="edge"/>
          <c:x val="0.4368665779436328"/>
          <c:y val="0.0589330814665724"/>
        </c:manualLayout>
      </c:layout>
      <c:overlay val="0"/>
      <c:txPr>
        <a:bodyPr/>
        <a:lstStyle/>
        <a:p>
          <a:pPr lvl="0">
            <a:defRPr b="0" i="0" sz="800">
              <a:solidFill>
                <a:srgbClr val="000000"/>
              </a:solidFill>
              <a:latin typeface="Arial"/>
            </a:defRPr>
          </a:pPr>
        </a:p>
      </c:txPr>
    </c:legend>
    <c:plotVisOnly val="0"/>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ILOAD and IFET vs Vout (VIN = VINMAX)                                               </a:t>
            </a:r>
          </a:p>
        </c:rich>
      </c:tx>
      <c:layout>
        <c:manualLayout>
          <c:xMode val="edge"/>
          <c:yMode val="edge"/>
          <c:x val="0.16494063286351637"/>
          <c:y val="0.030591748387251084"/>
        </c:manualLayout>
      </c:layout>
      <c:overlay val="0"/>
    </c:title>
    <c:plotArea>
      <c:layout>
        <c:manualLayout>
          <c:xMode val="edge"/>
          <c:yMode val="edge"/>
          <c:x val="0.15203109554174482"/>
          <c:y val="0.13835811263066838"/>
          <c:w val="0.7686575110361369"/>
          <c:h val="0.7016589020911266"/>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943186369"/>
        <c:axId val="1704824825"/>
      </c:scatterChart>
      <c:valAx>
        <c:axId val="94318636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Output Voltage (V)</a:t>
                </a:r>
              </a:p>
            </c:rich>
          </c:tx>
          <c:layout>
            <c:manualLayout>
              <c:xMode val="edge"/>
              <c:yMode val="edge"/>
              <c:x val="0.4091447968109176"/>
              <c:y val="0.925450010316143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1704824825"/>
      </c:valAx>
      <c:valAx>
        <c:axId val="1704824825"/>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Current (A)</a:t>
                </a:r>
              </a:p>
            </c:rich>
          </c:tx>
          <c:layout>
            <c:manualLayout>
              <c:xMode val="edge"/>
              <c:yMode val="edge"/>
              <c:x val="0.025894125229633976"/>
              <c:y val="0.40230013499530876"/>
            </c:manualLayout>
          </c:layout>
          <c:overlay val="0"/>
        </c:title>
        <c:numFmt formatCode="0.00" sourceLinked="0"/>
        <c:majorTickMark val="out"/>
        <c:minorTickMark val="none"/>
        <c:tickLblPos val="nextTo"/>
        <c:spPr>
          <a:ln/>
        </c:spPr>
        <c:txPr>
          <a:bodyPr/>
          <a:lstStyle/>
          <a:p>
            <a:pPr lvl="0">
              <a:defRPr b="1" i="0">
                <a:solidFill>
                  <a:srgbClr val="000000"/>
                </a:solidFill>
                <a:latin typeface="+mn-lt"/>
              </a:defRPr>
            </a:pPr>
          </a:p>
        </c:txPr>
        <c:crossAx val="943186369"/>
      </c:valAx>
    </c:plotArea>
    <c:legend>
      <c:legendPos val="r"/>
      <c:layout>
        <c:manualLayout>
          <c:xMode val="edge"/>
          <c:yMode val="edge"/>
          <c:x val="0.6966381666648132"/>
          <c:y val="0.3081804569940747"/>
        </c:manualLayout>
      </c:layout>
      <c:overlay val="0"/>
      <c:txPr>
        <a:bodyPr/>
        <a:lstStyle/>
        <a:p>
          <a:pPr lvl="0">
            <a:defRPr b="1"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Start - up: FET Power (VIN = VINMAX)</a:t>
            </a:r>
          </a:p>
        </c:rich>
      </c:tx>
      <c:layout>
        <c:manualLayout>
          <c:xMode val="edge"/>
          <c:yMode val="edge"/>
          <c:x val="0.17168280846180337"/>
          <c:y val="0.004701275793816091"/>
        </c:manualLayout>
      </c:layout>
      <c:overlay val="0"/>
    </c:title>
    <c:plotArea>
      <c:layout>
        <c:manualLayout>
          <c:xMode val="edge"/>
          <c:yMode val="edge"/>
          <c:x val="0.13282996456702728"/>
          <c:y val="0.1721780614790322"/>
          <c:w val="0.7738281961855525"/>
          <c:h val="0.6275453872531699"/>
        </c:manualLayout>
      </c:layout>
      <c:scatterChart>
        <c:scatterStyle val="lineMarker"/>
        <c:varyColors val="0"/>
        <c:ser>
          <c:idx val="0"/>
          <c:order val="0"/>
          <c:tx>
            <c:v>FET power dissipation</c:v>
          </c:tx>
          <c:spPr>
            <a:ln>
              <a:noFill/>
            </a:ln>
          </c:spPr>
          <c:marker>
            <c:symbol val="circle"/>
            <c:size val="7"/>
            <c:spPr>
              <a:solidFill>
                <a:schemeClr val="accent1"/>
              </a:solidFill>
              <a:ln cmpd="sng">
                <a:solidFill>
                  <a:schemeClr val="accent1"/>
                </a:solidFill>
              </a:ln>
            </c:spPr>
          </c:marker>
          <c:xVal>
            <c:numRef>
              <c:f>Start_up!$K$8:$K$115</c:f>
            </c:numRef>
          </c:xVal>
          <c:yVal>
            <c:numRef>
              <c:f>Start_up!$O$8:$O$115</c:f>
              <c:numCache/>
            </c:numRef>
          </c:yVal>
        </c:ser>
        <c:dLbls>
          <c:showLegendKey val="0"/>
          <c:showVal val="0"/>
          <c:showCatName val="0"/>
          <c:showSerName val="0"/>
          <c:showPercent val="0"/>
          <c:showBubbleSize val="0"/>
        </c:dLbls>
        <c:axId val="1136517108"/>
        <c:axId val="384351579"/>
      </c:scatterChart>
      <c:valAx>
        <c:axId val="1136517108"/>
        <c:scaling>
          <c:orientation val="minMax"/>
          <c:min val="-1.0"/>
        </c:scaling>
        <c:delete val="0"/>
        <c:axPos val="b"/>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Time (ms)</a:t>
                </a:r>
              </a:p>
            </c:rich>
          </c:tx>
          <c:layout>
            <c:manualLayout>
              <c:xMode val="edge"/>
              <c:yMode val="edge"/>
              <c:x val="0.44799096768442925"/>
              <c:y val="0.9058384785451736"/>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384351579"/>
      </c:valAx>
      <c:valAx>
        <c:axId val="384351579"/>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FET Power (W)</a:t>
                </a:r>
              </a:p>
            </c:rich>
          </c:tx>
          <c:layout>
            <c:manualLayout>
              <c:xMode val="edge"/>
              <c:yMode val="edge"/>
              <c:x val="0.012836103229293341"/>
              <c:y val="0.2577514635937455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1136517108"/>
      </c:valAx>
    </c:plotArea>
    <c:legend>
      <c:legendPos val="r"/>
      <c:layout>
        <c:manualLayout>
          <c:xMode val="edge"/>
          <c:yMode val="edge"/>
          <c:x val="0.5983533021444438"/>
          <c:y val="0.5299490276177808"/>
        </c:manualLayout>
      </c:layout>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Load and FET current vs Vout</a:t>
            </a:r>
          </a:p>
        </c:rich>
      </c:tx>
      <c:overlay val="0"/>
    </c:title>
    <c:plotArea>
      <c:layout>
        <c:manualLayout>
          <c:xMode val="edge"/>
          <c:yMode val="edge"/>
          <c:x val="0.20280211116986058"/>
          <c:y val="0.14177960397727438"/>
          <c:w val="0.699671320576761"/>
          <c:h val="0.7119118368882501"/>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1964626273"/>
        <c:axId val="1599088469"/>
      </c:scatterChart>
      <c:valAx>
        <c:axId val="1964626273"/>
        <c:scaling>
          <c:orientation val="minMax"/>
        </c:scaling>
        <c:delete val="0"/>
        <c:axPos val="b"/>
        <c:title>
          <c:tx>
            <c:rich>
              <a:bodyPr/>
              <a:lstStyle/>
              <a:p>
                <a:pPr lvl="0">
                  <a:defRPr b="1" i="0">
                    <a:solidFill>
                      <a:srgbClr val="000000"/>
                    </a:solidFill>
                    <a:latin typeface="+mn-lt"/>
                  </a:defRPr>
                </a:pPr>
                <a:r>
                  <a:rPr b="1" i="0">
                    <a:solidFill>
                      <a:srgbClr val="000000"/>
                    </a:solidFill>
                    <a:latin typeface="+mn-lt"/>
                  </a:rPr>
                  <a:t>Output Voltage (V)</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599088469"/>
      </c:valAx>
      <c:valAx>
        <c:axId val="1599088469"/>
        <c:scaling>
          <c:orientation val="minMax"/>
          <c:min val="0.0"/>
        </c:scaling>
        <c:delete val="0"/>
        <c:axPos val="l"/>
        <c:majorGridlines>
          <c:spPr>
            <a:ln>
              <a:solidFill>
                <a:srgbClr val="B7B7B7"/>
              </a:solidFill>
            </a:ln>
          </c:spPr>
        </c:majorGridlines>
        <c:title>
          <c:tx>
            <c:rich>
              <a:bodyPr/>
              <a:lstStyle/>
              <a:p>
                <a:pPr lvl="0">
                  <a:defRPr b="1" i="0">
                    <a:solidFill>
                      <a:srgbClr val="000000"/>
                    </a:solidFill>
                    <a:latin typeface="+mn-lt"/>
                  </a:defRPr>
                </a:pPr>
                <a:r>
                  <a:rPr b="1" i="0">
                    <a:solidFill>
                      <a:srgbClr val="000000"/>
                    </a:solidFill>
                    <a:latin typeface="+mn-lt"/>
                  </a:rPr>
                  <a:t>Current (A)</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964626273"/>
      </c:valAx>
    </c:plotArea>
    <c:legend>
      <c:legendPos val="r"/>
      <c:layout>
        <c:manualLayout>
          <c:xMode val="edge"/>
          <c:yMode val="edge"/>
          <c:x val="0.34624252358789726"/>
          <c:y val="0.24479126489117176"/>
        </c:manualLayout>
      </c:layout>
      <c:overlay val="0"/>
      <c:txPr>
        <a:bodyPr/>
        <a:lstStyle/>
        <a:p>
          <a:pPr lvl="0">
            <a:defRPr b="1" i="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0" Type="http://schemas.openxmlformats.org/officeDocument/2006/relationships/image" Target="../media/image13.png"/><Relationship Id="rId11" Type="http://schemas.openxmlformats.org/officeDocument/2006/relationships/image" Target="../media/image7.png"/><Relationship Id="rId22" Type="http://schemas.openxmlformats.org/officeDocument/2006/relationships/image" Target="../media/image9.png"/><Relationship Id="rId10" Type="http://schemas.openxmlformats.org/officeDocument/2006/relationships/image" Target="../media/image17.png"/><Relationship Id="rId21" Type="http://schemas.openxmlformats.org/officeDocument/2006/relationships/image" Target="../media/image2.png"/><Relationship Id="rId13" Type="http://schemas.openxmlformats.org/officeDocument/2006/relationships/image" Target="../media/image8.png"/><Relationship Id="rId12" Type="http://schemas.openxmlformats.org/officeDocument/2006/relationships/image" Target="../media/image10.png"/><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hyperlink" Target="http://www.ti.com/lit/gpn/lm5069" TargetMode="External"/><Relationship Id="rId9" Type="http://schemas.openxmlformats.org/officeDocument/2006/relationships/image" Target="../media/image19.png"/><Relationship Id="rId15" Type="http://schemas.openxmlformats.org/officeDocument/2006/relationships/image" Target="../media/image6.gif"/><Relationship Id="rId14" Type="http://schemas.openxmlformats.org/officeDocument/2006/relationships/image" Target="../media/image4.gif"/><Relationship Id="rId17" Type="http://schemas.openxmlformats.org/officeDocument/2006/relationships/image" Target="../media/image12.png"/><Relationship Id="rId16" Type="http://schemas.openxmlformats.org/officeDocument/2006/relationships/image" Target="../media/image5.jpg"/><Relationship Id="rId5" Type="http://schemas.openxmlformats.org/officeDocument/2006/relationships/image" Target="../media/image18.png"/><Relationship Id="rId19" Type="http://schemas.openxmlformats.org/officeDocument/2006/relationships/image" Target="../media/image11.png"/><Relationship Id="rId6" Type="http://schemas.openxmlformats.org/officeDocument/2006/relationships/image" Target="../media/image1.png"/><Relationship Id="rId18" Type="http://schemas.openxmlformats.org/officeDocument/2006/relationships/image" Target="../media/image14.png"/><Relationship Id="rId7" Type="http://schemas.openxmlformats.org/officeDocument/2006/relationships/image" Target="../media/image16.png"/><Relationship Id="rId8"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95250</xdr:rowOff>
    </xdr:from>
    <xdr:ext cx="9296400" cy="552450"/>
    <xdr:sp>
      <xdr:nvSpPr>
        <xdr:cNvPr id="3" name="Shape 3"/>
        <xdr:cNvSpPr/>
      </xdr:nvSpPr>
      <xdr:spPr>
        <a:xfrm>
          <a:off x="697800" y="3508538"/>
          <a:ext cx="9296400" cy="542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142875</xdr:colOff>
      <xdr:row>2</xdr:row>
      <xdr:rowOff>28575</xdr:rowOff>
    </xdr:from>
    <xdr:ext cx="2209800" cy="4095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266700</xdr:colOff>
      <xdr:row>50</xdr:row>
      <xdr:rowOff>76200</xdr:rowOff>
    </xdr:from>
    <xdr:ext cx="17011650" cy="25527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219075</xdr:colOff>
      <xdr:row>67</xdr:row>
      <xdr:rowOff>85725</xdr:rowOff>
    </xdr:from>
    <xdr:ext cx="16916400" cy="2352675"/>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190500</xdr:colOff>
      <xdr:row>81</xdr:row>
      <xdr:rowOff>123825</xdr:rowOff>
    </xdr:from>
    <xdr:ext cx="17002125" cy="210502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57150</xdr:colOff>
      <xdr:row>1</xdr:row>
      <xdr:rowOff>95250</xdr:rowOff>
    </xdr:from>
    <xdr:ext cx="7048500" cy="876300"/>
    <xdr:sp>
      <xdr:nvSpPr>
        <xdr:cNvPr id="4" name="Shape 4">
          <a:hlinkClick r:id="rId4"/>
        </xdr:cNvPr>
        <xdr:cNvSpPr txBox="1"/>
      </xdr:nvSpPr>
      <xdr:spPr>
        <a:xfrm>
          <a:off x="1826513" y="3346613"/>
          <a:ext cx="7038975" cy="86677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36575" spcFirstLastPara="1" rIns="0" wrap="square" tIns="22850">
          <a:noAutofit/>
        </a:bodyPr>
        <a:lstStyle/>
        <a:p>
          <a:pPr indent="0" lvl="0" marL="0" rtl="0" algn="l">
            <a:spcBef>
              <a:spcPts val="0"/>
            </a:spcBef>
            <a:spcAft>
              <a:spcPts val="0"/>
            </a:spcAft>
            <a:buNone/>
          </a:pPr>
          <a:r>
            <a:rPr b="1" i="0" lang="en-US" sz="1200" u="sng" strike="noStrike">
              <a:solidFill>
                <a:srgbClr val="FF0000"/>
              </a:solidFill>
              <a:latin typeface="Arial"/>
              <a:ea typeface="Arial"/>
              <a:cs typeface="Arial"/>
              <a:sym typeface="Arial"/>
            </a:rPr>
            <a:t>Note</a:t>
          </a:r>
          <a:r>
            <a:rPr b="1" i="0" lang="en-US" sz="1200" u="none" strike="noStrike">
              <a:solidFill>
                <a:srgbClr val="FF0000"/>
              </a:solidFill>
              <a:latin typeface="Arial"/>
              <a:ea typeface="Arial"/>
              <a:cs typeface="Arial"/>
              <a:sym typeface="Arial"/>
            </a:rPr>
            <a:t>:</a:t>
          </a:r>
          <a:r>
            <a:rPr b="0" i="0" lang="en-US" sz="1200" u="none" strike="noStrike">
              <a:solidFill>
                <a:srgbClr val="FF0000"/>
              </a:solidFill>
              <a:latin typeface="Arial"/>
              <a:ea typeface="Arial"/>
              <a:cs typeface="Arial"/>
              <a:sym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endParaRPr sz="1400"/>
        </a:p>
        <a:p>
          <a:pPr indent="0" lvl="0" marL="0" rtl="0" algn="l">
            <a:spcBef>
              <a:spcPts val="0"/>
            </a:spcBef>
            <a:spcAft>
              <a:spcPts val="0"/>
            </a:spcAft>
            <a:buNone/>
          </a:pPr>
          <a:r>
            <a:rPr b="1" i="0" lang="en-US" sz="1200" u="none" strike="noStrike">
              <a:solidFill>
                <a:srgbClr val="000000"/>
              </a:solidFill>
              <a:latin typeface="Arial"/>
              <a:ea typeface="Arial"/>
              <a:cs typeface="Arial"/>
              <a:sym typeface="Arial"/>
            </a:rPr>
            <a:t>Consult the LM5069 datasheet for more detail.</a:t>
          </a:r>
          <a:endParaRPr sz="1400"/>
        </a:p>
      </xdr:txBody>
    </xdr:sp>
    <xdr:clientData fLocksWithSheet="0"/>
  </xdr:oneCellAnchor>
  <xdr:oneCellAnchor>
    <xdr:from>
      <xdr:col>39</xdr:col>
      <xdr:colOff>-19050</xdr:colOff>
      <xdr:row>60</xdr:row>
      <xdr:rowOff>0</xdr:rowOff>
    </xdr:from>
    <xdr:ext cx="38100" cy="1333500"/>
    <xdr:sp>
      <xdr:nvSpPr>
        <xdr:cNvPr id="5" name="Shape 5"/>
        <xdr:cNvSpPr txBox="1"/>
      </xdr:nvSpPr>
      <xdr:spPr>
        <a:xfrm>
          <a:off x="5346000" y="3113250"/>
          <a:ext cx="0" cy="133350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Max R</a:t>
          </a:r>
          <a:r>
            <a:rPr b="0" baseline="-25000" i="0" lang="en-US" sz="1000" u="none" strike="noStrike">
              <a:solidFill>
                <a:srgbClr val="000000"/>
              </a:solidFill>
              <a:latin typeface="Arial"/>
              <a:ea typeface="Arial"/>
              <a:cs typeface="Arial"/>
              <a:sym typeface="Arial"/>
            </a:rPr>
            <a:t>S</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45 mV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(Max Load Current x 1.01)</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800" u="none" strike="noStrike">
              <a:solidFill>
                <a:srgbClr val="000000"/>
              </a:solidFill>
              <a:latin typeface="Arial"/>
              <a:ea typeface="Arial"/>
              <a:cs typeface="Arial"/>
              <a:sym typeface="Arial"/>
            </a:rPr>
            <a:t>The 1.01 factor provides 1% margin from the max. normal load current.</a:t>
          </a:r>
          <a:endParaRPr sz="1400"/>
        </a:p>
      </xdr:txBody>
    </xdr:sp>
    <xdr:clientData fLocksWithSheet="0"/>
  </xdr:oneCellAnchor>
  <xdr:oneCellAnchor>
    <xdr:from>
      <xdr:col>39</xdr:col>
      <xdr:colOff>-19050</xdr:colOff>
      <xdr:row>115</xdr:row>
      <xdr:rowOff>0</xdr:rowOff>
    </xdr:from>
    <xdr:ext cx="38100" cy="6181725"/>
    <xdr:sp>
      <xdr:nvSpPr>
        <xdr:cNvPr id="6" name="Shape 6"/>
        <xdr:cNvSpPr txBox="1"/>
      </xdr:nvSpPr>
      <xdr:spPr>
        <a:xfrm>
          <a:off x="5346000" y="689138"/>
          <a:ext cx="0" cy="61817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B</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20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R2 =  </a:t>
          </a:r>
          <a:r>
            <a:rPr b="0" i="0" lang="en-US" sz="1000" u="sng" strike="noStrike">
              <a:solidFill>
                <a:srgbClr val="000000"/>
              </a:solidFill>
              <a:latin typeface="Arial"/>
              <a:ea typeface="Arial"/>
              <a:cs typeface="Arial"/>
              <a:sym typeface="Arial"/>
            </a:rPr>
            <a:t>       1.17V  x  R1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- 1.17V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R3 = </a:t>
          </a:r>
          <a:r>
            <a:rPr b="0" i="0" lang="en-US" sz="1000" u="sng" strike="noStrike">
              <a:solidFill>
                <a:srgbClr val="000000"/>
              </a:solidFill>
              <a:latin typeface="Arial"/>
              <a:ea typeface="Arial"/>
              <a:cs typeface="Arial"/>
              <a:sym typeface="Arial"/>
            </a:rPr>
            <a:t> OVLO(upper) - OVLO(lower)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20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R4 =  </a:t>
          </a:r>
          <a:r>
            <a:rPr b="0" i="0" lang="en-US" sz="1000" u="sng" strike="noStrike">
              <a:solidFill>
                <a:srgbClr val="000000"/>
              </a:solidFill>
              <a:latin typeface="Arial"/>
              <a:ea typeface="Arial"/>
              <a:cs typeface="Arial"/>
              <a:sym typeface="Arial"/>
            </a:rPr>
            <a:t>       1.16V  x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- 1.16V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1.17V + (R1 x  </a:t>
          </a:r>
          <a:r>
            <a:rPr b="0" i="0" lang="en-US" sz="1000" u="sng" strike="noStrike">
              <a:solidFill>
                <a:srgbClr val="000000"/>
              </a:solidFill>
              <a:latin typeface="Arial"/>
              <a:ea typeface="Arial"/>
              <a:cs typeface="Arial"/>
              <a:sym typeface="Arial"/>
            </a:rPr>
            <a:t>( 1.17V     </a:t>
          </a:r>
          <a:r>
            <a:rPr b="0" i="0" lang="en-US" sz="1000" u="none" strike="noStrike">
              <a:solidFill>
                <a:srgbClr val="000000"/>
              </a:solidFill>
              <a:latin typeface="Arial"/>
              <a:ea typeface="Arial"/>
              <a:cs typeface="Arial"/>
              <a:sym typeface="Arial"/>
            </a:rPr>
            <a:t> +  20uA)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1.17V x (R1 + R2)/R2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1.16V x (R3 + R4)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(R3 x ((</a:t>
          </a:r>
          <a:r>
            <a:rPr b="0" i="0" lang="en-US" sz="1000" u="sng" strike="noStrike">
              <a:solidFill>
                <a:srgbClr val="000000"/>
              </a:solidFill>
              <a:latin typeface="Arial"/>
              <a:ea typeface="Arial"/>
              <a:cs typeface="Arial"/>
              <a:sym typeface="Arial"/>
            </a:rPr>
            <a:t> 1.16V)</a:t>
          </a:r>
          <a:r>
            <a:rPr b="0" i="0" lang="en-US" sz="1000" u="none" strike="noStrike">
              <a:solidFill>
                <a:srgbClr val="000000"/>
              </a:solidFill>
              <a:latin typeface="Arial"/>
              <a:ea typeface="Arial"/>
              <a:cs typeface="Arial"/>
              <a:sym typeface="Arial"/>
            </a:rPr>
            <a:t>  -  20uA)) + 1.16V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oneCellAnchor>
    <xdr:from>
      <xdr:col>8</xdr:col>
      <xdr:colOff>47625</xdr:colOff>
      <xdr:row>42</xdr:row>
      <xdr:rowOff>161925</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428625</xdr:colOff>
      <xdr:row>56</xdr:row>
      <xdr:rowOff>85725</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12</xdr:col>
      <xdr:colOff>657225</xdr:colOff>
      <xdr:row>69</xdr:row>
      <xdr:rowOff>19050</xdr:rowOff>
    </xdr:from>
    <xdr:ext cx="190500" cy="266700"/>
    <xdr:sp>
      <xdr:nvSpPr>
        <xdr:cNvPr id="8" name="Shape 8"/>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12</xdr:col>
      <xdr:colOff>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38100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57150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38100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57150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8</xdr:col>
      <xdr:colOff>400050</xdr:colOff>
      <xdr:row>35</xdr:row>
      <xdr:rowOff>152400</xdr:rowOff>
    </xdr:from>
    <xdr:ext cx="2819400" cy="2733675"/>
    <xdr:grpSp>
      <xdr:nvGrpSpPr>
        <xdr:cNvPr id="2" name="Shape 2"/>
        <xdr:cNvGrpSpPr/>
      </xdr:nvGrpSpPr>
      <xdr:grpSpPr>
        <a:xfrm>
          <a:off x="3936300" y="2413163"/>
          <a:ext cx="2819401" cy="2733675"/>
          <a:chOff x="3936300" y="2413163"/>
          <a:chExt cx="2819401" cy="2733675"/>
        </a:xfrm>
      </xdr:grpSpPr>
      <xdr:grpSp>
        <xdr:nvGrpSpPr>
          <xdr:cNvPr id="10" name="Shape 10"/>
          <xdr:cNvGrpSpPr/>
        </xdr:nvGrpSpPr>
        <xdr:grpSpPr>
          <a:xfrm>
            <a:off x="3936300" y="2413163"/>
            <a:ext cx="2819401" cy="2733675"/>
            <a:chOff x="8000997" y="4398069"/>
            <a:chExt cx="2861886" cy="2548942"/>
          </a:xfrm>
        </xdr:grpSpPr>
        <xdr:sp>
          <xdr:nvSpPr>
            <xdr:cNvPr id="11" name="Shape 11"/>
            <xdr:cNvSpPr/>
          </xdr:nvSpPr>
          <xdr:spPr>
            <a:xfrm>
              <a:off x="8000997" y="4398069"/>
              <a:ext cx="2861875" cy="2548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8000997" y="4398069"/>
              <a:ext cx="2861885" cy="2548942"/>
              <a:chOff x="8000997" y="4398069"/>
              <a:chExt cx="2861885" cy="2548942"/>
            </a:xfrm>
          </xdr:grpSpPr>
          <xdr:grpSp>
            <xdr:nvGrpSpPr>
              <xdr:cNvPr id="13" name="Shape 13"/>
              <xdr:cNvGrpSpPr/>
            </xdr:nvGrpSpPr>
            <xdr:grpSpPr>
              <a:xfrm>
                <a:off x="8000997" y="4398069"/>
                <a:ext cx="2861885" cy="2548942"/>
                <a:chOff x="7507942" y="4356356"/>
                <a:chExt cx="2857500" cy="2548942"/>
              </a:xfrm>
            </xdr:grpSpPr>
            <xdr:pic>
              <xdr:nvPicPr>
                <xdr:cNvPr id="14" name="Shape 14"/>
                <xdr:cNvPicPr preferRelativeResize="0"/>
              </xdr:nvPicPr>
              <xdr:blipFill rotWithShape="1">
                <a:blip r:embed="rId5">
                  <a:alphaModFix/>
                </a:blip>
                <a:srcRect b="0" l="0" r="0" t="0"/>
                <a:stretch/>
              </xdr:blipFill>
              <xdr:spPr>
                <a:xfrm>
                  <a:off x="7507942" y="4356356"/>
                  <a:ext cx="2857500" cy="2548942"/>
                </a:xfrm>
                <a:prstGeom prst="rect">
                  <a:avLst/>
                </a:prstGeom>
                <a:noFill/>
                <a:ln>
                  <a:noFill/>
                </a:ln>
              </xdr:spPr>
            </xdr:pic>
            <xdr:sp>
              <xdr:nvSpPr>
                <xdr:cNvPr id="15" name="Shape 15"/>
                <xdr:cNvSpPr txBox="1"/>
              </xdr:nvSpPr>
              <xdr:spPr>
                <a:xfrm>
                  <a:off x="8561294" y="5154706"/>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CL1</a:t>
                  </a:r>
                  <a:endParaRPr sz="1400"/>
                </a:p>
              </xdr:txBody>
            </xdr:sp>
            <xdr:sp>
              <xdr:nvSpPr>
                <xdr:cNvPr id="16" name="Shape 16"/>
                <xdr:cNvSpPr txBox="1"/>
              </xdr:nvSpPr>
              <xdr:spPr>
                <a:xfrm>
                  <a:off x="9397253" y="5038165"/>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CL2</a:t>
                  </a:r>
                  <a:endParaRPr sz="1400"/>
                </a:p>
              </xdr:txBody>
            </xdr:sp>
          </xdr:grpSp>
          <xdr:sp>
            <xdr:nvSpPr>
              <xdr:cNvPr id="17" name="Shape 17"/>
              <xdr:cNvSpPr/>
            </xdr:nvSpPr>
            <xdr:spPr>
              <a:xfrm>
                <a:off x="9177130" y="6493565"/>
                <a:ext cx="1432893" cy="323022"/>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pic>
          <xdr:nvPicPr>
            <xdr:cNvPr id="18" name="Shape 18"/>
            <xdr:cNvPicPr preferRelativeResize="0"/>
          </xdr:nvPicPr>
          <xdr:blipFill rotWithShape="1">
            <a:blip r:embed="rId6">
              <a:alphaModFix/>
            </a:blip>
            <a:srcRect b="0" l="0" r="0" t="0"/>
            <a:stretch/>
          </xdr:blipFill>
          <xdr:spPr>
            <a:xfrm>
              <a:off x="8912674" y="6278217"/>
              <a:ext cx="1424743" cy="447261"/>
            </a:xfrm>
            <a:prstGeom prst="rect">
              <a:avLst/>
            </a:prstGeom>
            <a:noFill/>
            <a:ln>
              <a:noFill/>
            </a:ln>
          </xdr:spPr>
        </xdr:pic>
      </xdr:grpSp>
    </xdr:grpSp>
    <xdr:clientData fLocksWithSheet="0"/>
  </xdr:oneCellAnchor>
  <xdr:oneCellAnchor>
    <xdr:from>
      <xdr:col>8</xdr:col>
      <xdr:colOff>95250</xdr:colOff>
      <xdr:row>95</xdr:row>
      <xdr:rowOff>0</xdr:rowOff>
    </xdr:from>
    <xdr:ext cx="2933700" cy="2114550"/>
    <xdr:grpSp>
      <xdr:nvGrpSpPr>
        <xdr:cNvPr id="2" name="Shape 2"/>
        <xdr:cNvGrpSpPr/>
      </xdr:nvGrpSpPr>
      <xdr:grpSpPr>
        <a:xfrm>
          <a:off x="3879149" y="2722725"/>
          <a:ext cx="2933700" cy="2114549"/>
          <a:chOff x="3879149" y="2722725"/>
          <a:chExt cx="2933700" cy="2114549"/>
        </a:xfrm>
      </xdr:grpSpPr>
      <xdr:grpSp>
        <xdr:nvGrpSpPr>
          <xdr:cNvPr id="19" name="Shape 19"/>
          <xdr:cNvGrpSpPr/>
        </xdr:nvGrpSpPr>
        <xdr:grpSpPr>
          <a:xfrm>
            <a:off x="3879149" y="2722725"/>
            <a:ext cx="2933700" cy="2114549"/>
            <a:chOff x="7873187" y="15693217"/>
            <a:chExt cx="2797322" cy="1973620"/>
          </a:xfrm>
        </xdr:grpSpPr>
        <xdr:sp>
          <xdr:nvSpPr>
            <xdr:cNvPr id="11" name="Shape 11"/>
            <xdr:cNvSpPr/>
          </xdr:nvSpPr>
          <xdr:spPr>
            <a:xfrm>
              <a:off x="7873187" y="15693217"/>
              <a:ext cx="2797300" cy="1973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0" name="Shape 20"/>
            <xdr:cNvPicPr preferRelativeResize="0"/>
          </xdr:nvPicPr>
          <xdr:blipFill rotWithShape="1">
            <a:blip r:embed="rId7">
              <a:alphaModFix/>
            </a:blip>
            <a:srcRect b="0" l="0" r="0" t="87769"/>
            <a:stretch/>
          </xdr:blipFill>
          <xdr:spPr>
            <a:xfrm>
              <a:off x="7873187" y="17443173"/>
              <a:ext cx="2797322" cy="223664"/>
            </a:xfrm>
            <a:prstGeom prst="rect">
              <a:avLst/>
            </a:prstGeom>
            <a:noFill/>
            <a:ln>
              <a:noFill/>
            </a:ln>
          </xdr:spPr>
        </xdr:pic>
        <xdr:pic>
          <xdr:nvPicPr>
            <xdr:cNvPr id="21" name="Shape 21"/>
            <xdr:cNvPicPr preferRelativeResize="0"/>
          </xdr:nvPicPr>
          <xdr:blipFill rotWithShape="1">
            <a:blip r:embed="rId8">
              <a:alphaModFix/>
            </a:blip>
            <a:srcRect b="0" l="0" r="0" t="0"/>
            <a:stretch/>
          </xdr:blipFill>
          <xdr:spPr>
            <a:xfrm>
              <a:off x="7887218" y="15693217"/>
              <a:ext cx="2764216" cy="1760647"/>
            </a:xfrm>
            <a:prstGeom prst="rect">
              <a:avLst/>
            </a:prstGeom>
            <a:noFill/>
            <a:ln>
              <a:noFill/>
            </a:ln>
          </xdr:spPr>
        </xdr:pic>
      </xdr:grpSp>
    </xdr:grpSp>
    <xdr:clientData fLocksWithSheet="0"/>
  </xdr:oneCellAnchor>
  <xdr:oneCellAnchor>
    <xdr:from>
      <xdr:col>8</xdr:col>
      <xdr:colOff>76200</xdr:colOff>
      <xdr:row>106</xdr:row>
      <xdr:rowOff>180975</xdr:rowOff>
    </xdr:from>
    <xdr:ext cx="3009900" cy="2190750"/>
    <xdr:grpSp>
      <xdr:nvGrpSpPr>
        <xdr:cNvPr id="2" name="Shape 2"/>
        <xdr:cNvGrpSpPr/>
      </xdr:nvGrpSpPr>
      <xdr:grpSpPr>
        <a:xfrm>
          <a:off x="3841050" y="2684625"/>
          <a:ext cx="3009900" cy="2190749"/>
          <a:chOff x="3841050" y="2684625"/>
          <a:chExt cx="3009900" cy="2190749"/>
        </a:xfrm>
      </xdr:grpSpPr>
      <xdr:grpSp>
        <xdr:nvGrpSpPr>
          <xdr:cNvPr id="22" name="Shape 22"/>
          <xdr:cNvGrpSpPr/>
        </xdr:nvGrpSpPr>
        <xdr:grpSpPr>
          <a:xfrm>
            <a:off x="3841050" y="2684625"/>
            <a:ext cx="3009900" cy="2190749"/>
            <a:chOff x="7880463" y="18111714"/>
            <a:chExt cx="2861764" cy="1978020"/>
          </a:xfrm>
        </xdr:grpSpPr>
        <xdr:sp>
          <xdr:nvSpPr>
            <xdr:cNvPr id="11" name="Shape 11"/>
            <xdr:cNvSpPr/>
          </xdr:nvSpPr>
          <xdr:spPr>
            <a:xfrm>
              <a:off x="7880463" y="18111714"/>
              <a:ext cx="2861750" cy="1978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3" name="Shape 23"/>
            <xdr:cNvPicPr preferRelativeResize="0"/>
          </xdr:nvPicPr>
          <xdr:blipFill rotWithShape="1">
            <a:blip r:embed="rId9">
              <a:alphaModFix/>
            </a:blip>
            <a:srcRect b="0" l="0" r="0" t="90397"/>
            <a:stretch/>
          </xdr:blipFill>
          <xdr:spPr>
            <a:xfrm>
              <a:off x="7949257" y="19911391"/>
              <a:ext cx="2792970" cy="178343"/>
            </a:xfrm>
            <a:prstGeom prst="rect">
              <a:avLst/>
            </a:prstGeom>
            <a:noFill/>
            <a:ln>
              <a:noFill/>
            </a:ln>
          </xdr:spPr>
        </xdr:pic>
        <xdr:pic>
          <xdr:nvPicPr>
            <xdr:cNvPr id="24" name="Shape 24"/>
            <xdr:cNvPicPr preferRelativeResize="0"/>
          </xdr:nvPicPr>
          <xdr:blipFill rotWithShape="1">
            <a:blip r:embed="rId10">
              <a:alphaModFix/>
            </a:blip>
            <a:srcRect b="0" l="0" r="0" t="0"/>
            <a:stretch/>
          </xdr:blipFill>
          <xdr:spPr>
            <a:xfrm>
              <a:off x="7880463" y="18111714"/>
              <a:ext cx="2845515" cy="1736436"/>
            </a:xfrm>
            <a:prstGeom prst="rect">
              <a:avLst/>
            </a:prstGeom>
            <a:noFill/>
            <a:ln>
              <a:noFill/>
            </a:ln>
          </xdr:spPr>
        </xdr:pic>
      </xdr:grpSp>
    </xdr:grpSp>
    <xdr:clientData fLocksWithSheet="0"/>
  </xdr:oneCellAnchor>
  <xdr:oneCellAnchor>
    <xdr:from>
      <xdr:col>0</xdr:col>
      <xdr:colOff>76200</xdr:colOff>
      <xdr:row>0</xdr:row>
      <xdr:rowOff>171450</xdr:rowOff>
    </xdr:from>
    <xdr:ext cx="1609725" cy="438150"/>
    <xdr:pic>
      <xdr:nvPicPr>
        <xdr:cNvPr id="0" name="image7.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95250</xdr:colOff>
      <xdr:row>151</xdr:row>
      <xdr:rowOff>95250</xdr:rowOff>
    </xdr:from>
    <xdr:ext cx="4029075" cy="0"/>
    <xdr:pic>
      <xdr:nvPicPr>
        <xdr:cNvPr id="0" name="image10.png"/>
        <xdr:cNvPicPr preferRelativeResize="0"/>
      </xdr:nvPicPr>
      <xdr:blipFill>
        <a:blip cstate="print" r:embed="rId12"/>
        <a:stretch>
          <a:fillRect/>
        </a:stretch>
      </xdr:blipFill>
      <xdr:spPr>
        <a:prstGeom prst="rect">
          <a:avLst/>
        </a:prstGeom>
        <a:noFill/>
      </xdr:spPr>
    </xdr:pic>
    <xdr:clientData fLocksWithSheet="0"/>
  </xdr:oneCellAnchor>
  <xdr:oneCellAnchor>
    <xdr:from>
      <xdr:col>16</xdr:col>
      <xdr:colOff>714375</xdr:colOff>
      <xdr:row>0</xdr:row>
      <xdr:rowOff>114300</xdr:rowOff>
    </xdr:from>
    <xdr:ext cx="1533525" cy="400050"/>
    <xdr:pic>
      <xdr:nvPicPr>
        <xdr:cNvPr id="0" name="image8.png"/>
        <xdr:cNvPicPr preferRelativeResize="0"/>
      </xdr:nvPicPr>
      <xdr:blipFill>
        <a:blip cstate="print" r:embed="rId13"/>
        <a:stretch>
          <a:fillRect/>
        </a:stretch>
      </xdr:blipFill>
      <xdr:spPr>
        <a:prstGeom prst="rect">
          <a:avLst/>
        </a:prstGeom>
        <a:noFill/>
      </xdr:spPr>
    </xdr:pic>
    <xdr:clientData fLocksWithSheet="0"/>
  </xdr:oneCellAnchor>
  <xdr:oneCellAnchor>
    <xdr:from>
      <xdr:col>12</xdr:col>
      <xdr:colOff>0</xdr:colOff>
      <xdr:row>10</xdr:row>
      <xdr:rowOff>0</xdr:rowOff>
    </xdr:from>
    <xdr:ext cx="0" cy="0"/>
    <xdr:pic>
      <xdr:nvPicPr>
        <xdr:cNvPr descr="http://d.adroll.com/cm/w/out" id="0" name="image4.gif"/>
        <xdr:cNvPicPr preferRelativeResize="0"/>
      </xdr:nvPicPr>
      <xdr:blipFill>
        <a:blip cstate="print" r:embed="rId14"/>
        <a:stretch>
          <a:fillRect/>
        </a:stretch>
      </xdr:blipFill>
      <xdr:spPr>
        <a:prstGeom prst="rect">
          <a:avLst/>
        </a:prstGeom>
        <a:noFill/>
      </xdr:spPr>
    </xdr:pic>
    <xdr:clientData fLocksWithSheet="0"/>
  </xdr:oneCellAnchor>
  <xdr:oneCellAnchor>
    <xdr:from>
      <xdr:col>12</xdr:col>
      <xdr:colOff>38100</xdr:colOff>
      <xdr:row>10</xdr:row>
      <xdr:rowOff>0</xdr:rowOff>
    </xdr:from>
    <xdr:ext cx="0" cy="0"/>
    <xdr:pic>
      <xdr:nvPicPr>
        <xdr:cNvPr descr="http://www.googleadservices.com/pagead/conversion/1011350631/?label=RVMHCInF3gYQ5_if4gM&amp;guid=ON&amp;script=0&amp;ord=7961155264590054" id="0" name="image6.gif"/>
        <xdr:cNvPicPr preferRelativeResize="0"/>
      </xdr:nvPicPr>
      <xdr:blipFill>
        <a:blip cstate="print" r:embed="rId15"/>
        <a:stretch>
          <a:fillRect/>
        </a:stretch>
      </xdr:blipFill>
      <xdr:spPr>
        <a:prstGeom prst="rect">
          <a:avLst/>
        </a:prstGeom>
        <a:noFill/>
      </xdr:spPr>
    </xdr:pic>
    <xdr:clientData fLocksWithSheet="0"/>
  </xdr:oneCellAnchor>
  <xdr:oneCellAnchor>
    <xdr:from>
      <xdr:col>11</xdr:col>
      <xdr:colOff>0</xdr:colOff>
      <xdr:row>9</xdr:row>
      <xdr:rowOff>0</xdr:rowOff>
    </xdr:from>
    <xdr:ext cx="0" cy="0"/>
    <xdr:pic>
      <xdr:nvPicPr>
        <xdr:cNvPr descr="http://d.adroll.com/cm/w/out" id="0" name="image4.gif"/>
        <xdr:cNvPicPr preferRelativeResize="0"/>
      </xdr:nvPicPr>
      <xdr:blipFill>
        <a:blip cstate="print" r:embed="rId14"/>
        <a:stretch>
          <a:fillRect/>
        </a:stretch>
      </xdr:blipFill>
      <xdr:spPr>
        <a:prstGeom prst="rect">
          <a:avLst/>
        </a:prstGeom>
        <a:noFill/>
      </xdr:spPr>
    </xdr:pic>
    <xdr:clientData fLocksWithSheet="0"/>
  </xdr:oneCellAnchor>
  <xdr:oneCellAnchor>
    <xdr:from>
      <xdr:col>11</xdr:col>
      <xdr:colOff>38100</xdr:colOff>
      <xdr:row>9</xdr:row>
      <xdr:rowOff>0</xdr:rowOff>
    </xdr:from>
    <xdr:ext cx="0" cy="0"/>
    <xdr:pic>
      <xdr:nvPicPr>
        <xdr:cNvPr descr="http://www.googleadservices.com/pagead/conversion/1011350631/?label=RVMHCInF3gYQ5_if4gM&amp;guid=ON&amp;script=0&amp;ord=8507963758213217" id="0" name="image6.gif"/>
        <xdr:cNvPicPr preferRelativeResize="0"/>
      </xdr:nvPicPr>
      <xdr:blipFill>
        <a:blip cstate="print" r:embed="rId15"/>
        <a:stretch>
          <a:fillRect/>
        </a:stretch>
      </xdr:blipFill>
      <xdr:spPr>
        <a:prstGeom prst="rect">
          <a:avLst/>
        </a:prstGeom>
        <a:noFill/>
      </xdr:spPr>
    </xdr:pic>
    <xdr:clientData fLocksWithSheet="0"/>
  </xdr:oneCellAnchor>
  <xdr:oneCellAnchor>
    <xdr:from>
      <xdr:col>8</xdr:col>
      <xdr:colOff>190500</xdr:colOff>
      <xdr:row>2</xdr:row>
      <xdr:rowOff>133350</xdr:rowOff>
    </xdr:from>
    <xdr:ext cx="1809750" cy="1371600"/>
    <xdr:pic>
      <xdr:nvPicPr>
        <xdr:cNvPr descr="Positive High Voltage Hot Swap / Inrush Current Controller with Power Limiting - LM5069" id="0" name="image5.jpg"/>
        <xdr:cNvPicPr preferRelativeResize="0"/>
      </xdr:nvPicPr>
      <xdr:blipFill>
        <a:blip cstate="print" r:embed="rId16"/>
        <a:stretch>
          <a:fillRect/>
        </a:stretch>
      </xdr:blipFill>
      <xdr:spPr>
        <a:prstGeom prst="rect">
          <a:avLst/>
        </a:prstGeom>
        <a:noFill/>
      </xdr:spPr>
    </xdr:pic>
    <xdr:clientData fLocksWithSheet="0"/>
  </xdr:oneCellAnchor>
  <xdr:oneCellAnchor>
    <xdr:from>
      <xdr:col>11</xdr:col>
      <xdr:colOff>304800</xdr:colOff>
      <xdr:row>102</xdr:row>
      <xdr:rowOff>57150</xdr:rowOff>
    </xdr:from>
    <xdr:ext cx="561975" cy="180975"/>
    <xdr:pic>
      <xdr:nvPicPr>
        <xdr:cNvPr id="0" name="image1.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85725</xdr:colOff>
      <xdr:row>122</xdr:row>
      <xdr:rowOff>95250</xdr:rowOff>
    </xdr:from>
    <xdr:ext cx="4895850" cy="2190750"/>
    <xdr:pic>
      <xdr:nvPicPr>
        <xdr:cNvPr id="0" name="image12.png"/>
        <xdr:cNvPicPr preferRelativeResize="0"/>
      </xdr:nvPicPr>
      <xdr:blipFill>
        <a:blip cstate="print" r:embed="rId17"/>
        <a:stretch>
          <a:fillRect/>
        </a:stretch>
      </xdr:blipFill>
      <xdr:spPr>
        <a:prstGeom prst="rect">
          <a:avLst/>
        </a:prstGeom>
        <a:noFill/>
      </xdr:spPr>
    </xdr:pic>
    <xdr:clientData fLocksWithSheet="0"/>
  </xdr:oneCellAnchor>
  <xdr:oneCellAnchor>
    <xdr:from>
      <xdr:col>1</xdr:col>
      <xdr:colOff>66675</xdr:colOff>
      <xdr:row>14</xdr:row>
      <xdr:rowOff>38100</xdr:rowOff>
    </xdr:from>
    <xdr:ext cx="1695450" cy="1514475"/>
    <xdr:pic>
      <xdr:nvPicPr>
        <xdr:cNvPr id="0" name="image14.png"/>
        <xdr:cNvPicPr preferRelativeResize="0"/>
      </xdr:nvPicPr>
      <xdr:blipFill>
        <a:blip cstate="print" r:embed="rId18"/>
        <a:stretch>
          <a:fillRect/>
        </a:stretch>
      </xdr:blipFill>
      <xdr:spPr>
        <a:prstGeom prst="rect">
          <a:avLst/>
        </a:prstGeom>
        <a:noFill/>
      </xdr:spPr>
    </xdr:pic>
    <xdr:clientData fLocksWithSheet="0"/>
  </xdr:oneCellAnchor>
  <xdr:oneCellAnchor>
    <xdr:from>
      <xdr:col>1</xdr:col>
      <xdr:colOff>66675</xdr:colOff>
      <xdr:row>27</xdr:row>
      <xdr:rowOff>66675</xdr:rowOff>
    </xdr:from>
    <xdr:ext cx="1743075" cy="942975"/>
    <xdr:pic>
      <xdr:nvPicPr>
        <xdr:cNvPr id="0" name="image11.pn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38100</xdr:colOff>
      <xdr:row>36</xdr:row>
      <xdr:rowOff>28575</xdr:rowOff>
    </xdr:from>
    <xdr:ext cx="1800225" cy="1143000"/>
    <xdr:pic>
      <xdr:nvPicPr>
        <xdr:cNvPr id="0" name="image11.pn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28575</xdr:colOff>
      <xdr:row>51</xdr:row>
      <xdr:rowOff>0</xdr:rowOff>
    </xdr:from>
    <xdr:ext cx="1847850" cy="962025"/>
    <xdr:pic>
      <xdr:nvPicPr>
        <xdr:cNvPr id="0" name="image13.png"/>
        <xdr:cNvPicPr preferRelativeResize="0"/>
      </xdr:nvPicPr>
      <xdr:blipFill>
        <a:blip cstate="print" r:embed="rId20"/>
        <a:stretch>
          <a:fillRect/>
        </a:stretch>
      </xdr:blipFill>
      <xdr:spPr>
        <a:prstGeom prst="rect">
          <a:avLst/>
        </a:prstGeom>
        <a:noFill/>
      </xdr:spPr>
    </xdr:pic>
    <xdr:clientData fLocksWithSheet="0"/>
  </xdr:oneCellAnchor>
  <xdr:oneCellAnchor>
    <xdr:from>
      <xdr:col>1</xdr:col>
      <xdr:colOff>38100</xdr:colOff>
      <xdr:row>68</xdr:row>
      <xdr:rowOff>28575</xdr:rowOff>
    </xdr:from>
    <xdr:ext cx="1962150" cy="1314450"/>
    <xdr:pic>
      <xdr:nvPicPr>
        <xdr:cNvPr id="0" name="image2.png"/>
        <xdr:cNvPicPr preferRelativeResize="0"/>
      </xdr:nvPicPr>
      <xdr:blipFill>
        <a:blip cstate="print" r:embed="rId21"/>
        <a:stretch>
          <a:fillRect/>
        </a:stretch>
      </xdr:blipFill>
      <xdr:spPr>
        <a:prstGeom prst="rect">
          <a:avLst/>
        </a:prstGeom>
        <a:noFill/>
      </xdr:spPr>
    </xdr:pic>
    <xdr:clientData fLocksWithSheet="0"/>
  </xdr:oneCellAnchor>
  <xdr:oneCellAnchor>
    <xdr:from>
      <xdr:col>1</xdr:col>
      <xdr:colOff>47625</xdr:colOff>
      <xdr:row>94</xdr:row>
      <xdr:rowOff>28575</xdr:rowOff>
    </xdr:from>
    <xdr:ext cx="2009775" cy="1076325"/>
    <xdr:pic>
      <xdr:nvPicPr>
        <xdr:cNvPr id="0" name="image9.png"/>
        <xdr:cNvPicPr preferRelativeResize="0"/>
      </xdr:nvPicPr>
      <xdr:blipFill>
        <a:blip cstate="print" r:embed="rId2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124</xdr:row>
      <xdr:rowOff>76200</xdr:rowOff>
    </xdr:from>
    <xdr:ext cx="3867150" cy="3914775"/>
    <xdr:sp>
      <xdr:nvSpPr>
        <xdr:cNvPr id="25" name="Shape 25"/>
        <xdr:cNvSpPr txBox="1"/>
      </xdr:nvSpPr>
      <xdr:spPr>
        <a:xfrm>
          <a:off x="3417188" y="1827375"/>
          <a:ext cx="3857625"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A</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R3 = </a:t>
          </a:r>
          <a:r>
            <a:rPr b="0" i="0" lang="en-US" sz="1000" u="sng" strike="noStrike">
              <a:solidFill>
                <a:srgbClr val="000000"/>
              </a:solidFill>
              <a:latin typeface="Arial"/>
              <a:ea typeface="Arial"/>
              <a:cs typeface="Arial"/>
              <a:sym typeface="Arial"/>
            </a:rPr>
            <a:t>         R1 x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x 2.5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x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R2 =  </a:t>
          </a:r>
          <a:r>
            <a:rPr b="0" i="0" lang="en-US" sz="1000" u="sng" strike="noStrike">
              <a:solidFill>
                <a:srgbClr val="000000"/>
              </a:solidFill>
              <a:latin typeface="Arial"/>
              <a:ea typeface="Arial"/>
              <a:cs typeface="Arial"/>
              <a:sym typeface="Arial"/>
            </a:rPr>
            <a:t>       2.5V  x  R1      </a:t>
          </a:r>
          <a:r>
            <a:rPr b="0" i="0" lang="en-US" sz="1000" u="none" strike="noStrike">
              <a:solidFill>
                <a:srgbClr val="000000"/>
              </a:solidFill>
              <a:latin typeface="Arial"/>
              <a:ea typeface="Arial"/>
              <a:cs typeface="Arial"/>
              <a:sym typeface="Arial"/>
            </a:rPr>
            <a:t>    -  R3</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2.5V x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((R1 + R2)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oneCellAnchor>
    <xdr:from>
      <xdr:col>6</xdr:col>
      <xdr:colOff>28575</xdr:colOff>
      <xdr:row>173</xdr:row>
      <xdr:rowOff>123825</xdr:rowOff>
    </xdr:from>
    <xdr:ext cx="2600325" cy="1685925"/>
    <xdr:sp>
      <xdr:nvSpPr>
        <xdr:cNvPr id="26" name="Shape 26"/>
        <xdr:cNvSpPr txBox="1"/>
      </xdr:nvSpPr>
      <xdr:spPr>
        <a:xfrm>
          <a:off x="4045838" y="2937038"/>
          <a:ext cx="2600325" cy="1685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Rpwr = 1.428 x 10</a:t>
          </a:r>
          <a:r>
            <a:rPr b="0" baseline="30000" i="0" lang="en-US" sz="1000" u="none" strike="noStrike">
              <a:solidFill>
                <a:srgbClr val="000000"/>
              </a:solidFill>
              <a:latin typeface="Arial"/>
              <a:ea typeface="Arial"/>
              <a:cs typeface="Arial"/>
              <a:sym typeface="Arial"/>
            </a:rPr>
            <a:t>5</a:t>
          </a:r>
          <a:r>
            <a:rPr b="0" i="0" lang="en-US" sz="1000" u="none" strike="noStrike">
              <a:solidFill>
                <a:srgbClr val="000000"/>
              </a:solidFill>
              <a:latin typeface="Arial"/>
              <a:ea typeface="Arial"/>
              <a:cs typeface="Arial"/>
              <a:sym typeface="Arial"/>
            </a:rPr>
            <a:t> x Rs x P</a:t>
          </a:r>
          <a:r>
            <a:rPr b="0" baseline="-25000" i="0" lang="en-US" sz="1000" u="none" strike="noStrike">
              <a:solidFill>
                <a:srgbClr val="000000"/>
              </a:solidFill>
              <a:latin typeface="Arial"/>
              <a:ea typeface="Arial"/>
              <a:cs typeface="Arial"/>
              <a:sym typeface="Arial"/>
            </a:rPr>
            <a:t>FET</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FET(min)</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4.44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FET(typ)</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5.85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FET(max)</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7.25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xdr:txBody>
    </xdr:sp>
    <xdr:clientData fLocksWithSheet="0"/>
  </xdr:oneCellAnchor>
  <xdr:oneCellAnchor>
    <xdr:from>
      <xdr:col>16</xdr:col>
      <xdr:colOff>323850</xdr:colOff>
      <xdr:row>124</xdr:row>
      <xdr:rowOff>76200</xdr:rowOff>
    </xdr:from>
    <xdr:ext cx="3838575" cy="3914775"/>
    <xdr:sp>
      <xdr:nvSpPr>
        <xdr:cNvPr id="27" name="Shape 27"/>
        <xdr:cNvSpPr txBox="1"/>
      </xdr:nvSpPr>
      <xdr:spPr>
        <a:xfrm>
          <a:off x="3431475" y="1827375"/>
          <a:ext cx="3829050"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B</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R2 =  </a:t>
          </a:r>
          <a:r>
            <a:rPr b="0" i="0" lang="en-US" sz="1100" u="sng">
              <a:latin typeface="Calibri"/>
              <a:ea typeface="Calibri"/>
              <a:cs typeface="Calibri"/>
              <a:sym typeface="Calibri"/>
            </a:rPr>
            <a:t>       2.5V  x  R1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UVLO(lower)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R3 = </a:t>
          </a:r>
          <a:r>
            <a:rPr b="0" i="0" lang="en-US" sz="1100" u="sng">
              <a:latin typeface="Calibri"/>
              <a:ea typeface="Calibri"/>
              <a:cs typeface="Calibri"/>
              <a:sym typeface="Calibri"/>
            </a:rPr>
            <a:t> OVLO(upper) - OVLO(lower)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21 uA </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R4 =  </a:t>
          </a:r>
          <a:r>
            <a:rPr b="0" i="0" lang="en-US" sz="1100" u="sng">
              <a:latin typeface="Calibri"/>
              <a:ea typeface="Calibri"/>
              <a:cs typeface="Calibri"/>
              <a:sym typeface="Calibri"/>
            </a:rPr>
            <a:t>       2.5V  x  R3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OVLO(upper)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(R3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561975</xdr:colOff>
      <xdr:row>26</xdr:row>
      <xdr:rowOff>85725</xdr:rowOff>
    </xdr:from>
    <xdr:ext cx="4095750" cy="3095625"/>
    <xdr:graphicFrame>
      <xdr:nvGraphicFramePr>
        <xdr:cNvPr id="4"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i.com/lit/pdf/slva673"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drawing" Target="../drawings/drawing2.xml"/><Relationship Id="rId10" Type="http://schemas.openxmlformats.org/officeDocument/2006/relationships/hyperlink" Target="https://training.ti.com/node/1133681" TargetMode="External"/><Relationship Id="rId12"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www.ti.com/hotswap" TargetMode="External"/><Relationship Id="rId3" Type="http://schemas.openxmlformats.org/officeDocument/2006/relationships/hyperlink" Target="http://www.ti.com/general/docs/video/watch.tsp?entryid=4609077027001" TargetMode="External"/><Relationship Id="rId4" Type="http://schemas.openxmlformats.org/officeDocument/2006/relationships/hyperlink" Target="http://www.ti.com/general/docs/video/watch.tsp?entryid=4609077122001" TargetMode="External"/><Relationship Id="rId9" Type="http://schemas.openxmlformats.org/officeDocument/2006/relationships/hyperlink" Target="https://training.ti.com/node/1133664" TargetMode="External"/><Relationship Id="rId5" Type="http://schemas.openxmlformats.org/officeDocument/2006/relationships/hyperlink" Target="http://www.ti.com/general/docs/video/watch.tsp?entryid=4609733745001" TargetMode="External"/><Relationship Id="rId6" Type="http://schemas.openxmlformats.org/officeDocument/2006/relationships/hyperlink" Target="http://www.ti.com/product/lm5069" TargetMode="External"/><Relationship Id="rId7" Type="http://schemas.openxmlformats.org/officeDocument/2006/relationships/hyperlink" Target="https://training.ti.com/node/1133677" TargetMode="External"/><Relationship Id="rId8"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0" customHeight="1">
      <c r="A1" s="1"/>
      <c r="B1" s="2"/>
      <c r="C1" s="2"/>
      <c r="D1" s="2"/>
      <c r="E1" s="2"/>
      <c r="F1" s="2"/>
      <c r="G1" s="2"/>
      <c r="H1" s="2"/>
      <c r="I1" s="2"/>
      <c r="J1" s="2"/>
      <c r="K1" s="2"/>
      <c r="L1" s="2"/>
      <c r="M1" s="2"/>
      <c r="N1" s="2"/>
      <c r="O1" s="2"/>
      <c r="P1" s="3"/>
    </row>
    <row r="2" ht="12.0" customHeight="1">
      <c r="A2" s="4"/>
      <c r="B2" s="5"/>
      <c r="C2" s="5"/>
      <c r="D2" s="5"/>
      <c r="E2" s="5"/>
      <c r="F2" s="5"/>
      <c r="G2" s="5"/>
      <c r="H2" s="5"/>
      <c r="I2" s="5"/>
      <c r="J2" s="5"/>
      <c r="K2" s="5"/>
      <c r="L2" s="5"/>
      <c r="M2" s="5"/>
      <c r="N2" s="5"/>
      <c r="O2" s="5"/>
      <c r="P2" s="6"/>
    </row>
    <row r="3" ht="12.0" customHeight="1">
      <c r="A3" s="4"/>
      <c r="B3" s="5"/>
      <c r="C3" s="5"/>
      <c r="D3" s="7"/>
      <c r="E3" s="5"/>
      <c r="F3" s="5"/>
      <c r="G3" s="5"/>
      <c r="H3" s="5"/>
      <c r="I3" s="5"/>
      <c r="J3" s="5"/>
      <c r="K3" s="5"/>
      <c r="L3" s="8"/>
      <c r="M3" s="5"/>
      <c r="N3" s="5"/>
      <c r="O3" s="5"/>
      <c r="P3" s="6"/>
    </row>
    <row r="4" ht="12.0" customHeight="1">
      <c r="A4" s="4"/>
      <c r="B4" s="5"/>
      <c r="C4" s="5"/>
      <c r="D4" s="9"/>
      <c r="E4" s="5"/>
      <c r="F4" s="5"/>
      <c r="G4" s="5"/>
      <c r="H4" s="5"/>
      <c r="I4" s="5"/>
      <c r="J4" s="5"/>
      <c r="K4" s="5"/>
      <c r="L4" s="5"/>
      <c r="M4" s="5"/>
      <c r="N4" s="5"/>
      <c r="O4" s="5"/>
      <c r="P4" s="6"/>
    </row>
    <row r="5" ht="12.0" customHeight="1">
      <c r="A5" s="4"/>
      <c r="B5" s="5"/>
      <c r="C5" s="5"/>
      <c r="D5" s="5"/>
      <c r="E5" s="5"/>
      <c r="F5" s="5"/>
      <c r="G5" s="5"/>
      <c r="H5" s="5"/>
      <c r="I5" s="5"/>
      <c r="J5" s="5"/>
      <c r="K5" s="5"/>
      <c r="L5" s="5"/>
      <c r="M5" s="5"/>
      <c r="N5" s="5"/>
      <c r="O5" s="5"/>
      <c r="P5" s="6"/>
    </row>
    <row r="6" ht="12.0" customHeight="1">
      <c r="A6" s="4"/>
      <c r="B6" s="5"/>
      <c r="C6" s="5"/>
      <c r="D6" s="5"/>
      <c r="E6" s="5"/>
      <c r="F6" s="5"/>
      <c r="G6" s="5"/>
      <c r="H6" s="5"/>
      <c r="I6" s="5"/>
      <c r="J6" s="5"/>
      <c r="K6" s="5"/>
      <c r="L6" s="5"/>
      <c r="M6" s="5"/>
      <c r="N6" s="5"/>
      <c r="O6" s="5"/>
      <c r="P6" s="6"/>
    </row>
    <row r="7" ht="12.0" customHeight="1">
      <c r="A7" s="4"/>
      <c r="B7" s="5"/>
      <c r="C7" s="5"/>
      <c r="D7" s="5"/>
      <c r="E7" s="5"/>
      <c r="F7" s="5"/>
      <c r="G7" s="5"/>
      <c r="H7" s="5"/>
      <c r="I7" s="5"/>
      <c r="J7" s="5"/>
      <c r="K7" s="5"/>
      <c r="L7" s="5"/>
      <c r="M7" s="8" t="s">
        <v>0</v>
      </c>
      <c r="N7" s="5"/>
      <c r="O7" s="5"/>
      <c r="P7" s="6"/>
    </row>
    <row r="8" ht="12.0" customHeight="1">
      <c r="A8" s="4"/>
      <c r="B8" s="7" t="s">
        <v>1</v>
      </c>
      <c r="C8" s="5"/>
      <c r="D8" s="5"/>
      <c r="E8" s="5"/>
      <c r="F8" s="5"/>
      <c r="G8" s="5"/>
      <c r="H8" s="5"/>
      <c r="I8" s="5"/>
      <c r="J8" s="5"/>
      <c r="K8" s="5"/>
      <c r="L8" s="5"/>
      <c r="M8" s="5"/>
      <c r="N8" s="5"/>
      <c r="O8" s="5"/>
      <c r="P8" s="6"/>
    </row>
    <row r="9" ht="12.0" customHeight="1">
      <c r="A9" s="4"/>
      <c r="B9" s="5"/>
      <c r="C9" s="5"/>
      <c r="D9" s="5"/>
      <c r="E9" s="5"/>
      <c r="F9" s="5"/>
      <c r="G9" s="5"/>
      <c r="H9" s="5"/>
      <c r="I9" s="5"/>
      <c r="J9" s="5"/>
      <c r="K9" s="5"/>
      <c r="L9" s="5"/>
      <c r="M9" s="5"/>
      <c r="N9" s="5"/>
      <c r="O9" s="5"/>
      <c r="P9" s="6"/>
    </row>
    <row r="10" ht="12.0" customHeight="1">
      <c r="A10" s="4"/>
      <c r="B10" s="10" t="s">
        <v>2</v>
      </c>
      <c r="C10" s="5"/>
      <c r="D10" s="5"/>
      <c r="E10" s="5"/>
      <c r="F10" s="5"/>
      <c r="G10" s="5"/>
      <c r="H10" s="5"/>
      <c r="I10" s="5"/>
      <c r="J10" s="5"/>
      <c r="K10" s="5"/>
      <c r="L10" s="5"/>
      <c r="M10" s="5"/>
      <c r="N10" s="5"/>
      <c r="O10" s="5"/>
      <c r="P10" s="6"/>
    </row>
    <row r="11" ht="12.0" customHeight="1">
      <c r="A11" s="4"/>
      <c r="B11" s="11" t="s">
        <v>3</v>
      </c>
      <c r="C11" s="12"/>
      <c r="D11" s="12"/>
      <c r="E11" s="12"/>
      <c r="F11" s="5"/>
      <c r="G11" s="5"/>
      <c r="H11" s="5"/>
      <c r="I11" s="5"/>
      <c r="J11" s="5"/>
      <c r="K11" s="5"/>
      <c r="L11" s="5"/>
      <c r="M11" s="5"/>
      <c r="N11" s="5"/>
      <c r="O11" s="5"/>
      <c r="P11" s="6"/>
    </row>
    <row r="12" ht="12.0" customHeight="1">
      <c r="A12" s="4"/>
      <c r="B12" s="11" t="s">
        <v>4</v>
      </c>
      <c r="C12" s="12"/>
      <c r="D12" s="12"/>
      <c r="E12" s="12"/>
      <c r="F12" s="5"/>
      <c r="G12" s="5"/>
      <c r="H12" s="5"/>
      <c r="I12" s="5"/>
      <c r="J12" s="5"/>
      <c r="K12" s="5"/>
      <c r="L12" s="5"/>
      <c r="M12" s="5"/>
      <c r="N12" s="5"/>
      <c r="O12" s="5"/>
      <c r="P12" s="6"/>
    </row>
    <row r="13" ht="12.0" customHeight="1">
      <c r="A13" s="4"/>
      <c r="B13" s="5"/>
      <c r="C13" s="5"/>
      <c r="D13" s="5"/>
      <c r="E13" s="5"/>
      <c r="F13" s="5"/>
      <c r="G13" s="5"/>
      <c r="H13" s="5"/>
      <c r="I13" s="5"/>
      <c r="J13" s="5"/>
      <c r="K13" s="5"/>
      <c r="L13" s="5"/>
      <c r="M13" s="5"/>
      <c r="N13" s="5"/>
      <c r="O13" s="5"/>
      <c r="P13" s="6"/>
    </row>
    <row r="14" ht="12.0" customHeight="1">
      <c r="A14" s="4"/>
      <c r="B14" s="13" t="s">
        <v>5</v>
      </c>
      <c r="C14" s="14"/>
      <c r="D14" s="15"/>
      <c r="E14" s="5"/>
      <c r="F14" s="5"/>
      <c r="G14" s="5"/>
      <c r="H14" s="5"/>
      <c r="I14" s="5"/>
      <c r="J14" s="5"/>
      <c r="K14" s="5"/>
      <c r="L14" s="5"/>
      <c r="M14" s="5"/>
      <c r="N14" s="5"/>
      <c r="O14" s="5"/>
      <c r="P14" s="6"/>
    </row>
    <row r="15" ht="12.0" customHeight="1">
      <c r="A15" s="4"/>
      <c r="B15" s="16" t="s">
        <v>6</v>
      </c>
      <c r="C15" s="14"/>
      <c r="D15" s="14"/>
      <c r="E15" s="14"/>
      <c r="F15" s="14"/>
      <c r="G15" s="14"/>
      <c r="H15" s="14"/>
      <c r="I15" s="15"/>
      <c r="J15" s="5"/>
      <c r="K15" s="5"/>
      <c r="L15" s="5"/>
      <c r="M15" s="5"/>
      <c r="N15" s="5"/>
      <c r="O15" s="5"/>
      <c r="P15" s="6"/>
    </row>
    <row r="16" ht="12.0" customHeight="1">
      <c r="A16" s="4"/>
      <c r="B16" s="5"/>
      <c r="C16" s="5"/>
      <c r="D16" s="5"/>
      <c r="E16" s="5"/>
      <c r="F16" s="5"/>
      <c r="G16" s="5"/>
      <c r="H16" s="5"/>
      <c r="I16" s="5"/>
      <c r="J16" s="5"/>
      <c r="K16" s="5"/>
      <c r="L16" s="5"/>
      <c r="M16" s="5"/>
      <c r="N16" s="5"/>
      <c r="O16" s="5"/>
      <c r="P16" s="6"/>
    </row>
    <row r="17" ht="12.0" customHeight="1">
      <c r="A17" s="4"/>
      <c r="B17" s="17" t="s">
        <v>7</v>
      </c>
      <c r="C17" s="5"/>
      <c r="D17" s="5"/>
      <c r="E17" s="5"/>
      <c r="F17" s="5"/>
      <c r="G17" s="5"/>
      <c r="H17" s="5"/>
      <c r="I17" s="5"/>
      <c r="J17" s="5"/>
      <c r="K17" s="5"/>
      <c r="L17" s="5"/>
      <c r="M17" s="5"/>
      <c r="N17" s="5"/>
      <c r="O17" s="5"/>
      <c r="P17" s="6"/>
    </row>
    <row r="18" ht="12.0" customHeight="1">
      <c r="A18" s="4"/>
      <c r="B18" s="18" t="s">
        <v>8</v>
      </c>
      <c r="C18" s="5"/>
      <c r="D18" s="5"/>
      <c r="E18" s="5"/>
      <c r="F18" s="5"/>
      <c r="G18" s="5"/>
      <c r="H18" s="5"/>
      <c r="I18" s="5"/>
      <c r="J18" s="5"/>
      <c r="K18" s="5"/>
      <c r="L18" s="5"/>
      <c r="M18" s="5"/>
      <c r="N18" s="5"/>
      <c r="O18" s="5"/>
      <c r="P18" s="6"/>
    </row>
    <row r="19" ht="12.0" customHeight="1">
      <c r="A19" s="4"/>
      <c r="B19" s="18" t="s">
        <v>9</v>
      </c>
      <c r="C19" s="5"/>
      <c r="D19" s="5"/>
      <c r="E19" s="5"/>
      <c r="F19" s="5"/>
      <c r="G19" s="5"/>
      <c r="H19" s="5"/>
      <c r="I19" s="5"/>
      <c r="J19" s="5"/>
      <c r="K19" s="5"/>
      <c r="L19" s="5"/>
      <c r="M19" s="5"/>
      <c r="N19" s="5"/>
      <c r="O19" s="5"/>
      <c r="P19" s="6"/>
    </row>
    <row r="20" ht="12.0" customHeight="1">
      <c r="A20" s="4"/>
      <c r="B20" s="18" t="s">
        <v>10</v>
      </c>
      <c r="C20" s="5"/>
      <c r="D20" s="5"/>
      <c r="E20" s="5"/>
      <c r="F20" s="5"/>
      <c r="G20" s="5"/>
      <c r="H20" s="5"/>
      <c r="I20" s="5"/>
      <c r="J20" s="5"/>
      <c r="K20" s="5"/>
      <c r="L20" s="5"/>
      <c r="M20" s="5"/>
      <c r="N20" s="5"/>
      <c r="O20" s="5"/>
      <c r="P20" s="6"/>
    </row>
    <row r="21" ht="12.0" customHeight="1">
      <c r="A21" s="4"/>
      <c r="B21" s="18" t="s">
        <v>11</v>
      </c>
      <c r="C21" s="5"/>
      <c r="D21" s="5"/>
      <c r="E21" s="5"/>
      <c r="F21" s="5"/>
      <c r="G21" s="5"/>
      <c r="H21" s="5"/>
      <c r="I21" s="5"/>
      <c r="J21" s="5"/>
      <c r="K21" s="5"/>
      <c r="L21" s="5"/>
      <c r="M21" s="5"/>
      <c r="N21" s="5"/>
      <c r="O21" s="5"/>
      <c r="P21" s="6"/>
    </row>
    <row r="22" ht="12.0" customHeight="1">
      <c r="A22" s="4"/>
      <c r="B22" s="18" t="s">
        <v>12</v>
      </c>
      <c r="C22" s="5"/>
      <c r="D22" s="5"/>
      <c r="E22" s="5"/>
      <c r="F22" s="5"/>
      <c r="G22" s="5"/>
      <c r="H22" s="5"/>
      <c r="I22" s="5"/>
      <c r="J22" s="5"/>
      <c r="K22" s="5"/>
      <c r="L22" s="5"/>
      <c r="M22" s="5"/>
      <c r="N22" s="5"/>
      <c r="O22" s="5"/>
      <c r="P22" s="6"/>
    </row>
    <row r="23" ht="12.0" customHeight="1">
      <c r="A23" s="4"/>
      <c r="B23" s="18" t="s">
        <v>13</v>
      </c>
      <c r="C23" s="5"/>
      <c r="D23" s="5"/>
      <c r="E23" s="5"/>
      <c r="F23" s="5"/>
      <c r="G23" s="5"/>
      <c r="H23" s="5"/>
      <c r="I23" s="5"/>
      <c r="J23" s="5"/>
      <c r="K23" s="5"/>
      <c r="L23" s="5"/>
      <c r="M23" s="5"/>
      <c r="N23" s="5"/>
      <c r="O23" s="5"/>
      <c r="P23" s="6"/>
    </row>
    <row r="24" ht="12.0" customHeight="1">
      <c r="A24" s="4"/>
      <c r="B24" s="18" t="s">
        <v>14</v>
      </c>
      <c r="C24" s="5"/>
      <c r="D24" s="5"/>
      <c r="E24" s="5"/>
      <c r="F24" s="5"/>
      <c r="G24" s="5"/>
      <c r="H24" s="5"/>
      <c r="I24" s="5"/>
      <c r="J24" s="5"/>
      <c r="K24" s="5"/>
      <c r="L24" s="5"/>
      <c r="M24" s="5"/>
      <c r="N24" s="5"/>
      <c r="O24" s="5"/>
      <c r="P24" s="6"/>
    </row>
    <row r="25" ht="12.0" customHeight="1">
      <c r="A25" s="4"/>
      <c r="B25" s="18"/>
      <c r="C25" s="5"/>
      <c r="D25" s="5"/>
      <c r="E25" s="5"/>
      <c r="F25" s="5"/>
      <c r="G25" s="5"/>
      <c r="H25" s="5"/>
      <c r="I25" s="5"/>
      <c r="J25" s="5"/>
      <c r="K25" s="5"/>
      <c r="L25" s="5"/>
      <c r="M25" s="5"/>
      <c r="N25" s="5"/>
      <c r="O25" s="5"/>
      <c r="P25" s="6"/>
    </row>
    <row r="26" ht="12.0" customHeight="1">
      <c r="A26" s="4"/>
      <c r="B26" s="10" t="s">
        <v>15</v>
      </c>
      <c r="C26" s="5"/>
      <c r="D26" s="5"/>
      <c r="E26" s="5"/>
      <c r="F26" s="5"/>
      <c r="G26" s="5"/>
      <c r="H26" s="5"/>
      <c r="I26" s="5"/>
      <c r="J26" s="5"/>
      <c r="K26" s="5"/>
      <c r="L26" s="5"/>
      <c r="M26" s="5"/>
      <c r="N26" s="5"/>
      <c r="O26" s="5"/>
      <c r="P26" s="6"/>
    </row>
    <row r="27" ht="12.0" customHeight="1">
      <c r="A27" s="4"/>
      <c r="B27" s="5" t="s">
        <v>16</v>
      </c>
      <c r="C27" s="5"/>
      <c r="D27" s="5"/>
      <c r="E27" s="5"/>
      <c r="F27" s="5"/>
      <c r="G27" s="5"/>
      <c r="H27" s="5"/>
      <c r="I27" s="5"/>
      <c r="J27" s="5"/>
      <c r="K27" s="5"/>
      <c r="L27" s="5"/>
      <c r="M27" s="5"/>
      <c r="N27" s="5"/>
      <c r="O27" s="5"/>
      <c r="P27" s="6"/>
    </row>
    <row r="28" ht="12.0" customHeight="1">
      <c r="A28" s="4"/>
      <c r="B28" s="5" t="s">
        <v>17</v>
      </c>
      <c r="C28" s="5"/>
      <c r="D28" s="5"/>
      <c r="E28" s="5"/>
      <c r="F28" s="5"/>
      <c r="G28" s="5"/>
      <c r="H28" s="5"/>
      <c r="I28" s="5"/>
      <c r="J28" s="5"/>
      <c r="K28" s="5"/>
      <c r="L28" s="5"/>
      <c r="M28" s="5"/>
      <c r="N28" s="5"/>
      <c r="O28" s="5"/>
      <c r="P28" s="6"/>
    </row>
    <row r="29" ht="12.0" customHeight="1">
      <c r="A29" s="4"/>
      <c r="B29" s="5"/>
      <c r="C29" s="5"/>
      <c r="D29" s="5"/>
      <c r="E29" s="5"/>
      <c r="F29" s="5"/>
      <c r="G29" s="5"/>
      <c r="H29" s="5"/>
      <c r="I29" s="5"/>
      <c r="J29" s="5"/>
      <c r="K29" s="5"/>
      <c r="L29" s="5"/>
      <c r="M29" s="5"/>
      <c r="N29" s="5"/>
      <c r="O29" s="5"/>
      <c r="P29" s="6"/>
    </row>
    <row r="30" ht="12.0" customHeight="1">
      <c r="A30" s="4"/>
      <c r="B30" s="5" t="s">
        <v>18</v>
      </c>
      <c r="C30" s="5"/>
      <c r="D30" s="5"/>
      <c r="E30" s="5"/>
      <c r="F30" s="5"/>
      <c r="G30" s="5"/>
      <c r="H30" s="5"/>
      <c r="I30" s="5"/>
      <c r="J30" s="5"/>
      <c r="K30" s="5"/>
      <c r="L30" s="5"/>
      <c r="M30" s="5"/>
      <c r="N30" s="5"/>
      <c r="O30" s="5"/>
      <c r="P30" s="6"/>
    </row>
    <row r="31" ht="12.0" customHeight="1">
      <c r="A31" s="4"/>
      <c r="B31" s="5"/>
      <c r="C31" s="5"/>
      <c r="D31" s="5"/>
      <c r="E31" s="5"/>
      <c r="F31" s="5"/>
      <c r="G31" s="5"/>
      <c r="H31" s="5"/>
      <c r="I31" s="5"/>
      <c r="J31" s="5"/>
      <c r="K31" s="5"/>
      <c r="L31" s="5"/>
      <c r="M31" s="5"/>
      <c r="N31" s="5"/>
      <c r="O31" s="5"/>
      <c r="P31" s="6"/>
    </row>
    <row r="32" ht="12.0" customHeight="1">
      <c r="A32" s="4"/>
      <c r="B32" s="5" t="s">
        <v>19</v>
      </c>
      <c r="C32" s="5"/>
      <c r="D32" s="5"/>
      <c r="E32" s="5"/>
      <c r="F32" s="5"/>
      <c r="G32" s="5"/>
      <c r="H32" s="5"/>
      <c r="I32" s="5"/>
      <c r="J32" s="5"/>
      <c r="K32" s="5"/>
      <c r="L32" s="5"/>
      <c r="M32" s="5"/>
      <c r="N32" s="5"/>
      <c r="O32" s="5"/>
      <c r="P32" s="6"/>
    </row>
    <row r="33" ht="12.0" customHeight="1">
      <c r="A33" s="4"/>
      <c r="B33" s="5"/>
      <c r="C33" s="5"/>
      <c r="D33" s="5"/>
      <c r="E33" s="5"/>
      <c r="F33" s="5"/>
      <c r="G33" s="5"/>
      <c r="H33" s="5"/>
      <c r="I33" s="5"/>
      <c r="J33" s="5"/>
      <c r="K33" s="5"/>
      <c r="L33" s="5"/>
      <c r="M33" s="5"/>
      <c r="N33" s="5"/>
      <c r="O33" s="5"/>
      <c r="P33" s="6"/>
    </row>
    <row r="34" ht="12.0" customHeight="1">
      <c r="A34" s="4"/>
      <c r="B34" s="5"/>
      <c r="C34" s="5"/>
      <c r="D34" s="5"/>
      <c r="E34" s="5"/>
      <c r="F34" s="5"/>
      <c r="G34" s="5"/>
      <c r="H34" s="5"/>
      <c r="I34" s="5"/>
      <c r="J34" s="5"/>
      <c r="K34" s="5"/>
      <c r="L34" s="5"/>
      <c r="M34" s="5"/>
      <c r="N34" s="5"/>
      <c r="O34" s="5"/>
      <c r="P34" s="6"/>
    </row>
    <row r="35" ht="12.0" customHeight="1">
      <c r="A35" s="4"/>
      <c r="B35" s="19" t="s">
        <v>20</v>
      </c>
      <c r="C35" s="20"/>
      <c r="D35" s="20"/>
      <c r="E35" s="20"/>
      <c r="F35" s="20"/>
      <c r="G35" s="20"/>
      <c r="H35" s="20"/>
      <c r="I35" s="20"/>
      <c r="J35" s="20"/>
      <c r="K35" s="20"/>
      <c r="L35" s="20"/>
      <c r="M35" s="21"/>
      <c r="N35" s="5"/>
      <c r="O35" s="5"/>
      <c r="P35" s="6"/>
    </row>
    <row r="36" ht="12.0" customHeight="1">
      <c r="A36" s="4"/>
      <c r="B36" s="22"/>
      <c r="M36" s="23"/>
      <c r="N36" s="5"/>
      <c r="O36" s="5"/>
      <c r="P36" s="6"/>
    </row>
    <row r="37" ht="12.0" customHeight="1">
      <c r="A37" s="4"/>
      <c r="B37" s="22"/>
      <c r="M37" s="23"/>
      <c r="N37" s="5"/>
      <c r="O37" s="5"/>
      <c r="P37" s="6"/>
    </row>
    <row r="38" ht="12.0" customHeight="1">
      <c r="A38" s="4"/>
      <c r="B38" s="22"/>
      <c r="M38" s="23"/>
      <c r="N38" s="5"/>
      <c r="O38" s="5"/>
      <c r="P38" s="6"/>
    </row>
    <row r="39" ht="12.0" customHeight="1">
      <c r="A39" s="4"/>
      <c r="B39" s="22"/>
      <c r="M39" s="23"/>
      <c r="N39" s="5"/>
      <c r="O39" s="5"/>
      <c r="P39" s="6"/>
    </row>
    <row r="40" ht="12.0" customHeight="1">
      <c r="A40" s="4"/>
      <c r="B40" s="22"/>
      <c r="M40" s="23"/>
      <c r="N40" s="5"/>
      <c r="O40" s="5"/>
      <c r="P40" s="6"/>
    </row>
    <row r="41" ht="12.0" customHeight="1">
      <c r="A41" s="4"/>
      <c r="B41" s="22"/>
      <c r="M41" s="23"/>
      <c r="N41" s="5"/>
      <c r="O41" s="5"/>
      <c r="P41" s="6"/>
    </row>
    <row r="42" ht="12.0" customHeight="1">
      <c r="A42" s="4"/>
      <c r="B42" s="22"/>
      <c r="M42" s="23"/>
      <c r="N42" s="5"/>
      <c r="O42" s="5"/>
      <c r="P42" s="6"/>
    </row>
    <row r="43" ht="12.0" customHeight="1">
      <c r="A43" s="4"/>
      <c r="B43" s="22"/>
      <c r="M43" s="23"/>
      <c r="N43" s="5"/>
      <c r="O43" s="5"/>
      <c r="P43" s="6"/>
    </row>
    <row r="44" ht="12.0" customHeight="1">
      <c r="A44" s="4"/>
      <c r="B44" s="22"/>
      <c r="M44" s="23"/>
      <c r="N44" s="5"/>
      <c r="O44" s="5"/>
      <c r="P44" s="6"/>
    </row>
    <row r="45" ht="12.0" customHeight="1">
      <c r="A45" s="4"/>
      <c r="B45" s="22"/>
      <c r="M45" s="23"/>
      <c r="N45" s="5"/>
      <c r="O45" s="5"/>
      <c r="P45" s="6"/>
    </row>
    <row r="46" ht="12.0" customHeight="1">
      <c r="A46" s="4"/>
      <c r="B46" s="22"/>
      <c r="M46" s="23"/>
      <c r="N46" s="5"/>
      <c r="O46" s="5"/>
      <c r="P46" s="6"/>
    </row>
    <row r="47" ht="12.0" customHeight="1">
      <c r="A47" s="4"/>
      <c r="B47" s="22"/>
      <c r="M47" s="23"/>
      <c r="N47" s="5"/>
      <c r="O47" s="5"/>
      <c r="P47" s="6"/>
    </row>
    <row r="48" ht="12.0" customHeight="1">
      <c r="A48" s="4"/>
      <c r="B48" s="22"/>
      <c r="M48" s="23"/>
      <c r="N48" s="5"/>
      <c r="O48" s="5"/>
      <c r="P48" s="6"/>
    </row>
    <row r="49" ht="12.0" customHeight="1">
      <c r="A49" s="4"/>
      <c r="B49" s="22"/>
      <c r="M49" s="23"/>
      <c r="N49" s="5"/>
      <c r="O49" s="5"/>
      <c r="P49" s="6"/>
    </row>
    <row r="50" ht="12.0" customHeight="1">
      <c r="A50" s="4"/>
      <c r="B50" s="22"/>
      <c r="M50" s="23"/>
      <c r="N50" s="5"/>
      <c r="O50" s="5"/>
      <c r="P50" s="6"/>
    </row>
    <row r="51" ht="12.0" customHeight="1">
      <c r="A51" s="4"/>
      <c r="B51" s="22"/>
      <c r="M51" s="23"/>
      <c r="N51" s="5"/>
      <c r="O51" s="5"/>
      <c r="P51" s="6"/>
    </row>
    <row r="52" ht="12.0" customHeight="1">
      <c r="A52" s="4"/>
      <c r="B52" s="22"/>
      <c r="M52" s="23"/>
      <c r="N52" s="5"/>
      <c r="O52" s="5"/>
      <c r="P52" s="6"/>
    </row>
    <row r="53" ht="12.0" customHeight="1">
      <c r="A53" s="4"/>
      <c r="B53" s="22"/>
      <c r="M53" s="23"/>
      <c r="N53" s="5"/>
      <c r="O53" s="5"/>
      <c r="P53" s="6"/>
    </row>
    <row r="54" ht="12.0" customHeight="1">
      <c r="A54" s="4"/>
      <c r="B54" s="22"/>
      <c r="M54" s="23"/>
      <c r="N54" s="5"/>
      <c r="O54" s="5"/>
      <c r="P54" s="6"/>
    </row>
    <row r="55" ht="12.0" customHeight="1">
      <c r="A55" s="4"/>
      <c r="B55" s="22"/>
      <c r="M55" s="23"/>
      <c r="N55" s="5"/>
      <c r="O55" s="5"/>
      <c r="P55" s="6"/>
    </row>
    <row r="56" ht="12.0" customHeight="1">
      <c r="A56" s="4"/>
      <c r="B56" s="22"/>
      <c r="M56" s="23"/>
      <c r="N56" s="5"/>
      <c r="O56" s="5"/>
      <c r="P56" s="6"/>
    </row>
    <row r="57" ht="12.0" customHeight="1">
      <c r="A57" s="4"/>
      <c r="B57" s="22"/>
      <c r="M57" s="23"/>
      <c r="N57" s="5"/>
      <c r="O57" s="5"/>
      <c r="P57" s="6"/>
    </row>
    <row r="58" ht="12.0" customHeight="1">
      <c r="A58" s="4"/>
      <c r="B58" s="22"/>
      <c r="M58" s="23"/>
      <c r="N58" s="5"/>
      <c r="O58" s="5"/>
      <c r="P58" s="6"/>
    </row>
    <row r="59" ht="12.0" customHeight="1">
      <c r="A59" s="4"/>
      <c r="B59" s="22"/>
      <c r="M59" s="23"/>
      <c r="N59" s="5"/>
      <c r="O59" s="5"/>
      <c r="P59" s="6"/>
    </row>
    <row r="60" ht="12.0" customHeight="1">
      <c r="A60" s="4"/>
      <c r="B60" s="22"/>
      <c r="M60" s="23"/>
      <c r="N60" s="5"/>
      <c r="O60" s="5"/>
      <c r="P60" s="6"/>
    </row>
    <row r="61" ht="12.0" customHeight="1">
      <c r="A61" s="4"/>
      <c r="B61" s="22"/>
      <c r="M61" s="23"/>
      <c r="N61" s="5"/>
      <c r="O61" s="5"/>
      <c r="P61" s="6"/>
    </row>
    <row r="62" ht="12.0" customHeight="1">
      <c r="A62" s="4"/>
      <c r="B62" s="22"/>
      <c r="M62" s="23"/>
      <c r="N62" s="5"/>
      <c r="O62" s="5"/>
      <c r="P62" s="6"/>
    </row>
    <row r="63" ht="12.0" customHeight="1">
      <c r="A63" s="4"/>
      <c r="B63" s="22"/>
      <c r="M63" s="23"/>
      <c r="N63" s="5"/>
      <c r="O63" s="5"/>
      <c r="P63" s="6"/>
    </row>
    <row r="64" ht="12.0" customHeight="1">
      <c r="A64" s="4"/>
      <c r="B64" s="22"/>
      <c r="M64" s="23"/>
      <c r="N64" s="5"/>
      <c r="O64" s="5"/>
      <c r="P64" s="6"/>
    </row>
    <row r="65" ht="12.0" customHeight="1">
      <c r="A65" s="4"/>
      <c r="B65" s="22"/>
      <c r="M65" s="23"/>
      <c r="N65" s="5"/>
      <c r="O65" s="5"/>
      <c r="P65" s="6"/>
    </row>
    <row r="66" ht="12.0" customHeight="1">
      <c r="A66" s="4"/>
      <c r="B66" s="22"/>
      <c r="M66" s="23"/>
      <c r="N66" s="5"/>
      <c r="O66" s="5"/>
      <c r="P66" s="6"/>
    </row>
    <row r="67" ht="12.0" customHeight="1">
      <c r="A67" s="4"/>
      <c r="B67" s="22"/>
      <c r="M67" s="23"/>
      <c r="N67" s="5"/>
      <c r="O67" s="5"/>
      <c r="P67" s="6"/>
    </row>
    <row r="68" ht="12.0" customHeight="1">
      <c r="A68" s="4"/>
      <c r="B68" s="22"/>
      <c r="M68" s="23"/>
      <c r="N68" s="5"/>
      <c r="O68" s="5"/>
      <c r="P68" s="6"/>
    </row>
    <row r="69" ht="12.0" customHeight="1">
      <c r="A69" s="4"/>
      <c r="B69" s="22"/>
      <c r="M69" s="23"/>
      <c r="N69" s="5"/>
      <c r="O69" s="5"/>
      <c r="P69" s="6"/>
    </row>
    <row r="70" ht="12.0" customHeight="1">
      <c r="A70" s="4"/>
      <c r="B70" s="22"/>
      <c r="M70" s="23"/>
      <c r="N70" s="5"/>
      <c r="O70" s="5"/>
      <c r="P70" s="6"/>
    </row>
    <row r="71" ht="12.0" customHeight="1">
      <c r="A71" s="4"/>
      <c r="B71" s="22"/>
      <c r="M71" s="23"/>
      <c r="N71" s="5"/>
      <c r="O71" s="5"/>
      <c r="P71" s="6"/>
    </row>
    <row r="72" ht="12.0" customHeight="1">
      <c r="A72" s="4"/>
      <c r="B72" s="22"/>
      <c r="M72" s="23"/>
      <c r="N72" s="5"/>
      <c r="O72" s="5"/>
      <c r="P72" s="6"/>
    </row>
    <row r="73" ht="12.0" customHeight="1">
      <c r="A73" s="4"/>
      <c r="B73" s="22"/>
      <c r="M73" s="23"/>
      <c r="N73" s="5"/>
      <c r="O73" s="5"/>
      <c r="P73" s="6"/>
    </row>
    <row r="74" ht="12.0" customHeight="1">
      <c r="A74" s="4"/>
      <c r="B74" s="22"/>
      <c r="M74" s="23"/>
      <c r="N74" s="5"/>
      <c r="O74" s="5"/>
      <c r="P74" s="6"/>
    </row>
    <row r="75" ht="12.0" customHeight="1">
      <c r="A75" s="4"/>
      <c r="B75" s="22"/>
      <c r="M75" s="23"/>
      <c r="N75" s="5"/>
      <c r="O75" s="5"/>
      <c r="P75" s="6"/>
    </row>
    <row r="76" ht="12.0" customHeight="1">
      <c r="A76" s="4"/>
      <c r="B76" s="22"/>
      <c r="M76" s="23"/>
      <c r="N76" s="5"/>
      <c r="O76" s="5"/>
      <c r="P76" s="6"/>
    </row>
    <row r="77" ht="12.0" customHeight="1">
      <c r="A77" s="4"/>
      <c r="B77" s="22"/>
      <c r="M77" s="23"/>
      <c r="N77" s="5"/>
      <c r="O77" s="5"/>
      <c r="P77" s="6"/>
    </row>
    <row r="78" ht="12.0" customHeight="1">
      <c r="A78" s="4"/>
      <c r="B78" s="22"/>
      <c r="M78" s="23"/>
      <c r="N78" s="5"/>
      <c r="O78" s="5"/>
      <c r="P78" s="6"/>
    </row>
    <row r="79" ht="12.0" customHeight="1">
      <c r="A79" s="4"/>
      <c r="B79" s="22"/>
      <c r="M79" s="23"/>
      <c r="N79" s="5"/>
      <c r="O79" s="5"/>
      <c r="P79" s="6"/>
    </row>
    <row r="80" ht="12.0" customHeight="1">
      <c r="A80" s="4"/>
      <c r="B80" s="22"/>
      <c r="M80" s="23"/>
      <c r="N80" s="5"/>
      <c r="O80" s="5"/>
      <c r="P80" s="6"/>
    </row>
    <row r="81" ht="12.0" customHeight="1">
      <c r="A81" s="4"/>
      <c r="B81" s="22"/>
      <c r="M81" s="23"/>
      <c r="N81" s="5"/>
      <c r="O81" s="5"/>
      <c r="P81" s="6"/>
    </row>
    <row r="82" ht="12.0" customHeight="1">
      <c r="A82" s="4"/>
      <c r="B82" s="22"/>
      <c r="M82" s="23"/>
      <c r="N82" s="5"/>
      <c r="O82" s="5"/>
      <c r="P82" s="6"/>
    </row>
    <row r="83" ht="12.0" customHeight="1">
      <c r="A83" s="4"/>
      <c r="B83" s="22"/>
      <c r="M83" s="23"/>
      <c r="N83" s="5"/>
      <c r="O83" s="5"/>
      <c r="P83" s="6"/>
    </row>
    <row r="84" ht="12.0" customHeight="1">
      <c r="A84" s="4"/>
      <c r="B84" s="22"/>
      <c r="M84" s="23"/>
      <c r="N84" s="5"/>
      <c r="O84" s="5"/>
      <c r="P84" s="6"/>
    </row>
    <row r="85" ht="12.0" customHeight="1">
      <c r="A85" s="4"/>
      <c r="B85" s="22"/>
      <c r="M85" s="23"/>
      <c r="N85" s="5"/>
      <c r="O85" s="5"/>
      <c r="P85" s="6"/>
    </row>
    <row r="86" ht="12.0" customHeight="1">
      <c r="A86" s="4"/>
      <c r="B86" s="22"/>
      <c r="M86" s="23"/>
      <c r="N86" s="5"/>
      <c r="O86" s="5"/>
      <c r="P86" s="6"/>
    </row>
    <row r="87" ht="12.0" customHeight="1">
      <c r="A87" s="4"/>
      <c r="B87" s="22"/>
      <c r="M87" s="23"/>
      <c r="N87" s="5"/>
      <c r="O87" s="5"/>
      <c r="P87" s="6"/>
    </row>
    <row r="88" ht="12.0" customHeight="1">
      <c r="A88" s="4"/>
      <c r="B88" s="22"/>
      <c r="M88" s="23"/>
      <c r="N88" s="5"/>
      <c r="O88" s="5"/>
      <c r="P88" s="6"/>
    </row>
    <row r="89" ht="12.0" customHeight="1">
      <c r="A89" s="4"/>
      <c r="B89" s="22"/>
      <c r="M89" s="23"/>
      <c r="N89" s="5"/>
      <c r="O89" s="5"/>
      <c r="P89" s="6"/>
    </row>
    <row r="90" ht="12.0" customHeight="1">
      <c r="A90" s="4"/>
      <c r="B90" s="22"/>
      <c r="M90" s="23"/>
      <c r="N90" s="5"/>
      <c r="O90" s="5"/>
      <c r="P90" s="6"/>
    </row>
    <row r="91" ht="12.0" customHeight="1">
      <c r="A91" s="4"/>
      <c r="B91" s="22"/>
      <c r="M91" s="23"/>
      <c r="N91" s="5"/>
      <c r="O91" s="5"/>
      <c r="P91" s="6"/>
    </row>
    <row r="92" ht="12.0" customHeight="1">
      <c r="A92" s="4"/>
      <c r="B92" s="22"/>
      <c r="M92" s="23"/>
      <c r="N92" s="5"/>
      <c r="O92" s="5"/>
      <c r="P92" s="6"/>
    </row>
    <row r="93" ht="12.0" customHeight="1">
      <c r="A93" s="4"/>
      <c r="B93" s="22"/>
      <c r="M93" s="23"/>
      <c r="N93" s="5"/>
      <c r="O93" s="5"/>
      <c r="P93" s="6"/>
    </row>
    <row r="94" ht="12.0" customHeight="1">
      <c r="A94" s="4"/>
      <c r="B94" s="22"/>
      <c r="M94" s="23"/>
      <c r="N94" s="5"/>
      <c r="O94" s="5"/>
      <c r="P94" s="6"/>
    </row>
    <row r="95" ht="12.0" customHeight="1">
      <c r="A95" s="4"/>
      <c r="B95" s="22"/>
      <c r="M95" s="23"/>
      <c r="N95" s="5"/>
      <c r="O95" s="5"/>
      <c r="P95" s="6"/>
    </row>
    <row r="96" ht="12.0" customHeight="1">
      <c r="A96" s="4"/>
      <c r="B96" s="22"/>
      <c r="M96" s="23"/>
      <c r="N96" s="5"/>
      <c r="O96" s="5"/>
      <c r="P96" s="6"/>
    </row>
    <row r="97" ht="12.0" customHeight="1">
      <c r="A97" s="4"/>
      <c r="B97" s="24"/>
      <c r="C97" s="25"/>
      <c r="D97" s="25"/>
      <c r="E97" s="25"/>
      <c r="F97" s="25"/>
      <c r="G97" s="25"/>
      <c r="H97" s="25"/>
      <c r="I97" s="25"/>
      <c r="J97" s="25"/>
      <c r="K97" s="25"/>
      <c r="L97" s="25"/>
      <c r="M97" s="26"/>
      <c r="N97" s="5"/>
      <c r="O97" s="5"/>
      <c r="P97" s="6"/>
    </row>
    <row r="98" ht="12.0" customHeight="1">
      <c r="A98" s="4"/>
      <c r="B98" s="5"/>
      <c r="C98" s="5"/>
      <c r="D98" s="5"/>
      <c r="E98" s="5"/>
      <c r="F98" s="5"/>
      <c r="G98" s="5"/>
      <c r="H98" s="5"/>
      <c r="I98" s="5"/>
      <c r="J98" s="5"/>
      <c r="K98" s="5"/>
      <c r="L98" s="5"/>
      <c r="M98" s="5"/>
      <c r="N98" s="5"/>
      <c r="O98" s="5"/>
      <c r="P98" s="6"/>
    </row>
    <row r="99" ht="12.0" customHeight="1">
      <c r="A99" s="27"/>
      <c r="B99" s="28"/>
      <c r="C99" s="28"/>
      <c r="D99" s="28"/>
      <c r="E99" s="28"/>
      <c r="F99" s="28"/>
      <c r="G99" s="28"/>
      <c r="H99" s="28"/>
      <c r="I99" s="28"/>
      <c r="J99" s="28"/>
      <c r="K99" s="28"/>
      <c r="L99" s="28"/>
      <c r="M99" s="28"/>
      <c r="N99" s="28"/>
      <c r="O99" s="28"/>
      <c r="P99" s="29"/>
    </row>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B14:D14"/>
    <mergeCell ref="B15:I15"/>
    <mergeCell ref="B35:M97"/>
  </mergeCells>
  <hyperlinks>
    <hyperlink r:id="rId1" ref="B1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43"/>
    <col customWidth="1" min="2" max="2" width="30.0"/>
    <col customWidth="1" min="3" max="3" width="15.14"/>
    <col customWidth="1" min="4" max="4" width="17.29"/>
    <col customWidth="1" min="5" max="5" width="20.86"/>
    <col customWidth="1" min="6" max="6" width="19.57"/>
    <col customWidth="1" min="7" max="7" width="5.57"/>
    <col customWidth="1" min="8" max="8" width="9.57"/>
    <col customWidth="1" min="9" max="9" width="12.86"/>
    <col customWidth="1" min="10" max="10" width="8.71"/>
    <col customWidth="1" min="11" max="11" width="10.29"/>
    <col customWidth="1" min="12" max="12" width="8.86"/>
    <col customWidth="1" min="13" max="13" width="9.86"/>
    <col customWidth="1" hidden="1" min="14" max="19" width="8.71"/>
    <col customWidth="1" hidden="1" min="20" max="20" width="2.71"/>
    <col customWidth="1" hidden="1" min="21" max="21" width="3.0"/>
    <col customWidth="1" hidden="1" min="22" max="22" width="1.14"/>
    <col customWidth="1" hidden="1" min="23" max="23" width="3.71"/>
    <col customWidth="1" hidden="1" min="24" max="38" width="8.71"/>
    <col customWidth="1" min="39" max="39" width="11.71"/>
    <col customWidth="1" min="40" max="40" width="6.71"/>
    <col customWidth="1" min="41" max="41" width="9.29"/>
    <col customWidth="1" min="42" max="42" width="12.29"/>
    <col customWidth="1" min="43" max="43" width="12.0"/>
    <col customWidth="1" hidden="1" min="44" max="44" width="13.43"/>
    <col customWidth="1" min="45" max="45" width="14.57"/>
  </cols>
  <sheetData>
    <row r="1" ht="60.75" customHeight="1">
      <c r="A1" s="30" t="s">
        <v>21</v>
      </c>
      <c r="B1" s="31"/>
      <c r="C1" s="31"/>
      <c r="D1" s="31"/>
      <c r="E1" s="31"/>
      <c r="F1" s="31"/>
      <c r="G1" s="31"/>
      <c r="H1" s="31"/>
      <c r="I1" s="31"/>
      <c r="J1" s="31"/>
      <c r="K1" s="31"/>
      <c r="L1" s="31"/>
      <c r="M1" s="32"/>
      <c r="N1" s="33"/>
      <c r="O1" s="33"/>
      <c r="P1" s="33"/>
      <c r="Q1" s="33"/>
      <c r="R1" s="34"/>
      <c r="S1" s="34"/>
      <c r="T1" s="35"/>
      <c r="U1" s="35"/>
      <c r="V1" s="35"/>
      <c r="W1" s="35"/>
      <c r="X1" s="35"/>
      <c r="Y1" s="35"/>
      <c r="Z1" s="35"/>
      <c r="AA1" s="35"/>
      <c r="AB1" s="35"/>
      <c r="AC1" s="35"/>
      <c r="AD1" s="35"/>
      <c r="AE1" s="35"/>
      <c r="AF1" s="35"/>
      <c r="AG1" s="35"/>
      <c r="AH1" s="35"/>
      <c r="AI1" s="35"/>
      <c r="AJ1" s="35"/>
      <c r="AK1" s="35"/>
      <c r="AL1" s="35"/>
      <c r="AM1" s="35"/>
      <c r="AN1" s="36"/>
      <c r="AO1" s="36"/>
      <c r="AP1" s="36"/>
      <c r="AQ1" s="36"/>
      <c r="AR1" s="36"/>
      <c r="AS1" s="36"/>
    </row>
    <row r="2" ht="12.0" customHeight="1">
      <c r="A2" s="37"/>
      <c r="B2" s="38" t="s">
        <v>22</v>
      </c>
      <c r="C2" s="37"/>
      <c r="D2" s="37"/>
      <c r="E2" s="37"/>
      <c r="F2" s="39"/>
      <c r="G2" s="39"/>
      <c r="H2" s="37"/>
      <c r="I2" s="37"/>
      <c r="J2" s="37"/>
      <c r="K2" s="37"/>
      <c r="L2" s="40"/>
      <c r="M2" s="15"/>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ht="12.0" customHeight="1">
      <c r="A3" s="37"/>
      <c r="B3" s="37"/>
      <c r="C3" s="37"/>
      <c r="D3" s="37"/>
      <c r="E3" s="37"/>
      <c r="F3" s="37"/>
      <c r="G3" s="39"/>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ht="12.0" customHeight="1">
      <c r="A4" s="37"/>
      <c r="B4" s="37"/>
      <c r="C4" s="37"/>
      <c r="D4" s="37"/>
      <c r="E4" s="37"/>
      <c r="F4" s="37"/>
      <c r="G4" s="39"/>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row>
    <row r="5" ht="12.0" customHeight="1">
      <c r="A5" s="37"/>
      <c r="B5" s="37"/>
      <c r="C5" s="37"/>
      <c r="D5" s="37"/>
      <c r="E5" s="37"/>
      <c r="F5" s="37"/>
      <c r="G5" s="39"/>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row>
    <row r="6" ht="12.0" customHeight="1">
      <c r="A6" s="37"/>
      <c r="B6" s="37"/>
      <c r="C6" s="37"/>
      <c r="D6" s="37"/>
      <c r="E6" s="37"/>
      <c r="F6" s="37"/>
      <c r="G6" s="39"/>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row>
    <row r="7" ht="16.5" customHeight="1">
      <c r="A7" s="37"/>
      <c r="B7" s="37"/>
      <c r="C7" s="37"/>
      <c r="D7" s="37"/>
      <c r="E7" s="37"/>
      <c r="F7" s="37"/>
      <c r="G7" s="39"/>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row>
    <row r="8" ht="12.0" customHeight="1">
      <c r="A8" s="37"/>
      <c r="B8" s="37"/>
      <c r="C8" s="37"/>
      <c r="D8" s="37"/>
      <c r="E8" s="37"/>
      <c r="F8" s="37"/>
      <c r="G8" s="39"/>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ht="15.0" customHeight="1">
      <c r="A9" s="37"/>
      <c r="B9" s="41"/>
      <c r="C9" s="42"/>
      <c r="D9" s="37" t="s">
        <v>23</v>
      </c>
      <c r="E9" s="43"/>
      <c r="F9" s="37"/>
      <c r="G9" s="39"/>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0" ht="15.0" customHeight="1">
      <c r="A10" s="37"/>
      <c r="B10" s="44"/>
      <c r="C10" s="45"/>
      <c r="D10" s="37" t="s">
        <v>24</v>
      </c>
      <c r="E10" s="46"/>
      <c r="F10" s="37"/>
      <c r="G10" s="39"/>
      <c r="H10" s="37"/>
      <c r="I10" s="37"/>
      <c r="J10" s="37"/>
      <c r="K10" s="37"/>
      <c r="L10" s="47"/>
      <c r="M10" s="4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row>
    <row r="11" ht="22.5" customHeight="1">
      <c r="A11" s="37"/>
      <c r="B11" s="44"/>
      <c r="C11" s="48"/>
      <c r="D11" s="49" t="s">
        <v>25</v>
      </c>
      <c r="E11" s="50"/>
      <c r="F11" s="37"/>
      <c r="G11" s="39"/>
      <c r="H11" s="37"/>
      <c r="I11" s="37"/>
      <c r="J11" s="37"/>
      <c r="K11" s="37"/>
      <c r="L11" s="47"/>
      <c r="M11" s="4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ht="18.0" customHeight="1">
      <c r="A12" s="37"/>
      <c r="B12" s="44"/>
      <c r="C12" s="51"/>
      <c r="D12" s="52"/>
      <c r="E12" s="53"/>
      <c r="F12" s="37"/>
      <c r="G12" s="39"/>
      <c r="H12" s="37"/>
      <c r="I12" s="37"/>
      <c r="J12" s="37"/>
      <c r="K12" s="37"/>
      <c r="L12" s="47"/>
      <c r="M12" s="4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row>
    <row r="13" ht="15.0" customHeight="1">
      <c r="A13" s="37"/>
      <c r="B13" s="37"/>
      <c r="C13" s="37"/>
      <c r="D13" s="37"/>
      <c r="E13" s="37"/>
      <c r="F13" s="37"/>
      <c r="G13" s="39"/>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row>
    <row r="14" ht="15.0" customHeight="1">
      <c r="A14" s="37"/>
      <c r="B14" s="54" t="s">
        <v>26</v>
      </c>
      <c r="C14" s="55"/>
      <c r="D14" s="56" t="s">
        <v>27</v>
      </c>
      <c r="E14" s="20"/>
      <c r="F14" s="20"/>
      <c r="G14" s="57"/>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60"/>
    </row>
    <row r="15" ht="15.0" customHeight="1">
      <c r="A15" s="37"/>
      <c r="B15" s="61"/>
      <c r="C15" s="62"/>
      <c r="D15" s="63"/>
      <c r="E15" s="64"/>
      <c r="F15" s="64"/>
      <c r="G15" s="53"/>
      <c r="H15" s="65"/>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66"/>
      <c r="AR15" s="67" t="s">
        <v>28</v>
      </c>
    </row>
    <row r="16" ht="15.0" customHeight="1">
      <c r="A16" s="37"/>
      <c r="B16" s="68"/>
      <c r="C16" s="69"/>
      <c r="D16" s="70" t="s">
        <v>29</v>
      </c>
      <c r="E16" s="14"/>
      <c r="F16" s="14"/>
      <c r="G16" s="14"/>
      <c r="H16" s="14"/>
      <c r="I16" s="15"/>
      <c r="J16" s="71"/>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66"/>
      <c r="AR16" s="67" t="s">
        <v>30</v>
      </c>
    </row>
    <row r="17" ht="15.0" customHeight="1">
      <c r="A17" s="37"/>
      <c r="B17" s="72"/>
      <c r="C17" s="69"/>
      <c r="D17" s="70" t="s">
        <v>31</v>
      </c>
      <c r="E17" s="14"/>
      <c r="F17" s="14"/>
      <c r="G17" s="14"/>
      <c r="H17" s="14"/>
      <c r="I17" s="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66"/>
    </row>
    <row r="18" ht="15.0" customHeight="1">
      <c r="A18" s="37"/>
      <c r="B18" s="72"/>
      <c r="C18" s="69"/>
      <c r="D18" s="70" t="s">
        <v>32</v>
      </c>
      <c r="E18" s="14"/>
      <c r="F18" s="14"/>
      <c r="G18" s="14"/>
      <c r="H18" s="14"/>
      <c r="I18" s="15"/>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66"/>
    </row>
    <row r="19" ht="15.0" customHeight="1">
      <c r="A19" s="37"/>
      <c r="B19" s="73"/>
      <c r="C19" s="69"/>
      <c r="D19" s="70" t="s">
        <v>33</v>
      </c>
      <c r="E19" s="14"/>
      <c r="F19" s="14"/>
      <c r="G19" s="14"/>
      <c r="H19" s="14"/>
      <c r="I19" s="15"/>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66"/>
    </row>
    <row r="20" ht="15.0" customHeight="1">
      <c r="A20" s="37"/>
      <c r="B20" s="74"/>
      <c r="C20" s="69"/>
      <c r="D20" s="75" t="s">
        <v>34</v>
      </c>
      <c r="E20" s="76"/>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66"/>
    </row>
    <row r="21" ht="15.0" customHeight="1">
      <c r="A21" s="37"/>
      <c r="B21" s="77"/>
      <c r="C21" s="37"/>
      <c r="D21" s="37"/>
      <c r="E21" s="78"/>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66"/>
    </row>
    <row r="22" ht="28.5" customHeight="1">
      <c r="A22" s="37"/>
      <c r="B22" s="77"/>
      <c r="C22" s="37"/>
      <c r="D22" s="79" t="s">
        <v>35</v>
      </c>
      <c r="E22" s="80"/>
      <c r="F22" s="81"/>
      <c r="G22" s="82" t="s">
        <v>28</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66"/>
    </row>
    <row r="23" ht="31.5" customHeight="1">
      <c r="A23" s="37"/>
      <c r="B23" s="77"/>
      <c r="C23" s="37"/>
      <c r="D23" s="83" t="s">
        <v>36</v>
      </c>
      <c r="E23" s="80"/>
      <c r="F23" s="81"/>
      <c r="G23" s="84" t="s">
        <v>28</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66"/>
    </row>
    <row r="24" ht="15.0" customHeight="1">
      <c r="A24" s="37"/>
      <c r="B24" s="77"/>
      <c r="C24" s="37"/>
      <c r="D24" s="85" t="s">
        <v>37</v>
      </c>
      <c r="E24" s="86"/>
      <c r="F24" s="50"/>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66"/>
    </row>
    <row r="25" ht="15.0" customHeight="1">
      <c r="A25" s="37"/>
      <c r="B25" s="77"/>
      <c r="C25" s="37"/>
      <c r="D25" s="63"/>
      <c r="E25" s="64"/>
      <c r="F25" s="53"/>
      <c r="G25" s="8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66"/>
    </row>
    <row r="26" ht="15.0" customHeight="1">
      <c r="A26" s="37"/>
      <c r="B26" s="88"/>
      <c r="C26" s="89"/>
      <c r="D26" s="90"/>
      <c r="E26" s="90"/>
      <c r="F26" s="90"/>
      <c r="G26" s="91"/>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2"/>
    </row>
    <row r="27" ht="15.0" customHeight="1">
      <c r="A27" s="37"/>
      <c r="B27" s="54" t="s">
        <v>38</v>
      </c>
      <c r="C27" s="59"/>
      <c r="D27" s="59"/>
      <c r="E27" s="93" t="s">
        <v>39</v>
      </c>
      <c r="F27" s="94">
        <v>10.0</v>
      </c>
      <c r="G27" s="95" t="s">
        <v>40</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row>
    <row r="28" ht="15.0" customHeight="1">
      <c r="A28" s="37"/>
      <c r="B28" s="96"/>
      <c r="C28" s="37"/>
      <c r="D28" s="37"/>
      <c r="E28" s="78" t="s">
        <v>41</v>
      </c>
      <c r="F28" s="97">
        <v>24.0</v>
      </c>
      <c r="G28" s="98" t="s">
        <v>40</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66"/>
    </row>
    <row r="29" ht="15.0" customHeight="1">
      <c r="A29" s="37"/>
      <c r="B29" s="77"/>
      <c r="C29" s="37"/>
      <c r="D29" s="37"/>
      <c r="E29" s="78" t="s">
        <v>42</v>
      </c>
      <c r="F29" s="97">
        <v>30.0</v>
      </c>
      <c r="G29" s="98" t="s">
        <v>40</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66"/>
    </row>
    <row r="30" ht="15.0" customHeight="1">
      <c r="A30" s="37"/>
      <c r="B30" s="77"/>
      <c r="C30" s="37"/>
      <c r="D30" s="37"/>
      <c r="E30" s="78" t="s">
        <v>43</v>
      </c>
      <c r="F30" s="97">
        <v>8.0</v>
      </c>
      <c r="G30" s="98" t="s">
        <v>44</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66"/>
    </row>
    <row r="31" ht="15.0" customHeight="1">
      <c r="A31" s="37"/>
      <c r="B31" s="77"/>
      <c r="C31" s="37"/>
      <c r="D31" s="37"/>
      <c r="E31" s="78" t="s">
        <v>45</v>
      </c>
      <c r="F31" s="97">
        <v>1400.0</v>
      </c>
      <c r="G31" s="98" t="s">
        <v>46</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66"/>
    </row>
    <row r="32" ht="15.0" customHeight="1">
      <c r="A32" s="37"/>
      <c r="B32" s="77"/>
      <c r="C32" s="37"/>
      <c r="D32" s="37"/>
      <c r="E32" s="78" t="s">
        <v>47</v>
      </c>
      <c r="F32" s="99">
        <v>85.0</v>
      </c>
      <c r="G32" s="98" t="s">
        <v>48</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66"/>
    </row>
    <row r="33" ht="15.0" customHeight="1">
      <c r="A33" s="37"/>
      <c r="B33" s="100" t="s">
        <v>49</v>
      </c>
      <c r="C33" s="37"/>
      <c r="D33" s="37"/>
      <c r="E33" s="78"/>
      <c r="F33" s="101"/>
      <c r="G33" s="102"/>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66"/>
    </row>
    <row r="34" ht="15.0" customHeight="1">
      <c r="A34" s="37"/>
      <c r="B34" s="73"/>
      <c r="C34" s="37"/>
      <c r="D34" s="37"/>
      <c r="E34" s="78"/>
      <c r="F34" s="101"/>
      <c r="G34" s="102"/>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66"/>
    </row>
    <row r="35" ht="15.0" customHeight="1">
      <c r="A35" s="37"/>
      <c r="B35" s="88"/>
      <c r="C35" s="89"/>
      <c r="D35" s="89"/>
      <c r="E35" s="103"/>
      <c r="F35" s="104"/>
      <c r="G35" s="105"/>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2"/>
    </row>
    <row r="36" ht="15.0" customHeight="1">
      <c r="A36" s="37"/>
      <c r="B36" s="54" t="s">
        <v>50</v>
      </c>
      <c r="C36" s="106"/>
      <c r="D36" s="59"/>
      <c r="E36" s="107" t="s">
        <v>51</v>
      </c>
      <c r="F36" s="108" t="s">
        <v>52</v>
      </c>
      <c r="G36" s="10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60"/>
      <c r="AN36" s="67"/>
    </row>
    <row r="37" ht="15.0" customHeight="1">
      <c r="A37" s="37"/>
      <c r="B37" s="110"/>
      <c r="C37" s="37"/>
      <c r="D37" s="37"/>
      <c r="E37" s="78" t="s">
        <v>53</v>
      </c>
      <c r="F37" s="111">
        <f>Equations!F20</f>
        <v>6.002475248</v>
      </c>
      <c r="G37" s="98" t="s">
        <v>54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66"/>
      <c r="AN37" s="67"/>
    </row>
    <row r="38" ht="15.0" customHeight="1">
      <c r="A38" s="37"/>
      <c r="B38" s="77"/>
      <c r="C38" s="37"/>
      <c r="D38" s="37"/>
      <c r="E38" s="78" t="s">
        <v>55</v>
      </c>
      <c r="F38" s="97" t="s">
        <v>30</v>
      </c>
      <c r="G38" s="98"/>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66"/>
      <c r="AN38" s="67" t="s">
        <v>28</v>
      </c>
    </row>
    <row r="39" ht="15.0" customHeight="1">
      <c r="A39" s="37"/>
      <c r="B39" s="77"/>
      <c r="C39" s="37"/>
      <c r="D39" s="37"/>
      <c r="E39" s="78" t="s">
        <v>56</v>
      </c>
      <c r="F39" s="97">
        <v>5.0</v>
      </c>
      <c r="G39" s="98" t="s">
        <v>57</v>
      </c>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66"/>
      <c r="AN39" s="67" t="s">
        <v>30</v>
      </c>
    </row>
    <row r="40" ht="15.0" customHeight="1">
      <c r="A40" s="37"/>
      <c r="B40" s="77"/>
      <c r="C40" s="37"/>
      <c r="D40" s="37"/>
      <c r="E40" s="78" t="s">
        <v>58</v>
      </c>
      <c r="F40" s="112" t="str">
        <f>Equations!F21</f>
        <v>NA</v>
      </c>
      <c r="G40" s="113" t="s">
        <v>59</v>
      </c>
      <c r="H40" s="114"/>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66"/>
    </row>
    <row r="41" ht="15.0" customHeight="1">
      <c r="A41" s="37"/>
      <c r="B41" s="77"/>
      <c r="C41" s="37"/>
      <c r="D41" s="37"/>
      <c r="E41" s="78" t="s">
        <v>60</v>
      </c>
      <c r="F41" s="111" t="str">
        <f>Equations!F22</f>
        <v>NA</v>
      </c>
      <c r="G41" s="113" t="s">
        <v>59</v>
      </c>
      <c r="H41" s="114"/>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66"/>
    </row>
    <row r="42" ht="15.0" customHeight="1">
      <c r="A42" s="37"/>
      <c r="B42" s="77"/>
      <c r="C42" s="37"/>
      <c r="D42" s="37"/>
      <c r="E42" s="78" t="s">
        <v>61</v>
      </c>
      <c r="F42" s="97">
        <v>10.0</v>
      </c>
      <c r="G42" s="113" t="s">
        <v>59</v>
      </c>
      <c r="H42" s="114"/>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66"/>
      <c r="AN42" s="115" t="b">
        <f>AND(F38="No")</f>
        <v>1</v>
      </c>
    </row>
    <row r="43" ht="29.25" customHeight="1">
      <c r="A43" s="37"/>
      <c r="B43" s="116" t="s">
        <v>49</v>
      </c>
      <c r="C43" s="37"/>
      <c r="D43" s="37"/>
      <c r="E43" s="78" t="s">
        <v>62</v>
      </c>
      <c r="F43" s="97">
        <v>3.04</v>
      </c>
      <c r="G43" s="113" t="s">
        <v>59</v>
      </c>
      <c r="H43" s="114"/>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66"/>
    </row>
    <row r="44" ht="15.0" customHeight="1">
      <c r="A44" s="37"/>
      <c r="B44" s="116"/>
      <c r="C44" s="37"/>
      <c r="D44" s="37"/>
      <c r="E44" s="78" t="s">
        <v>63</v>
      </c>
      <c r="F44" s="111">
        <f>RsEFF</f>
        <v>5</v>
      </c>
      <c r="G44" s="98" t="s">
        <v>64</v>
      </c>
      <c r="H44" s="114"/>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66"/>
    </row>
    <row r="45" ht="15.0" customHeight="1">
      <c r="A45" s="37"/>
      <c r="B45" s="116"/>
      <c r="C45" s="37"/>
      <c r="D45" s="5"/>
      <c r="E45" s="117" t="s">
        <v>65</v>
      </c>
      <c r="F45" s="118">
        <f>CLMIN</f>
        <v>9.7</v>
      </c>
      <c r="G45" s="98" t="s">
        <v>44</v>
      </c>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66"/>
    </row>
    <row r="46" ht="15.0" customHeight="1">
      <c r="A46" s="37"/>
      <c r="B46" s="77"/>
      <c r="C46" s="37"/>
      <c r="D46" s="119"/>
      <c r="E46" s="120" t="s">
        <v>66</v>
      </c>
      <c r="F46" s="118">
        <f>CLNOM</f>
        <v>11</v>
      </c>
      <c r="G46" s="98" t="s">
        <v>44</v>
      </c>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66"/>
    </row>
    <row r="47" ht="15.0" customHeight="1">
      <c r="A47" s="37"/>
      <c r="B47" s="77"/>
      <c r="C47" s="37"/>
      <c r="D47" s="121"/>
      <c r="E47" s="122" t="s">
        <v>67</v>
      </c>
      <c r="F47" s="118">
        <f>CLMAX</f>
        <v>12.3</v>
      </c>
      <c r="G47" s="98" t="s">
        <v>44</v>
      </c>
      <c r="H47" s="37"/>
      <c r="I47" s="6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66"/>
      <c r="AN47" s="67" t="s">
        <v>68</v>
      </c>
    </row>
    <row r="48" ht="15.0" customHeight="1">
      <c r="A48" s="37"/>
      <c r="B48" s="77"/>
      <c r="C48" s="37"/>
      <c r="D48" s="37"/>
      <c r="E48" s="78" t="s">
        <v>69</v>
      </c>
      <c r="F48" s="123">
        <f>Equations!F27/1000</f>
        <v>0.75645</v>
      </c>
      <c r="G48" s="98" t="s">
        <v>59</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66"/>
      <c r="AN48" s="67" t="s">
        <v>70</v>
      </c>
    </row>
    <row r="49" ht="15.0" customHeight="1">
      <c r="A49" s="37"/>
      <c r="B49" s="77"/>
      <c r="C49" s="37"/>
      <c r="D49" s="37"/>
      <c r="E49" s="78" t="s">
        <v>71</v>
      </c>
      <c r="F49" s="101" t="s">
        <v>68</v>
      </c>
      <c r="G49" s="9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66"/>
      <c r="AN49" s="67" t="s">
        <v>72</v>
      </c>
    </row>
    <row r="50" ht="15.0" customHeight="1">
      <c r="A50" s="37"/>
      <c r="B50" s="88"/>
      <c r="C50" s="89"/>
      <c r="D50" s="89"/>
      <c r="E50" s="124" t="s">
        <v>73</v>
      </c>
      <c r="F50" s="104" t="s">
        <v>72</v>
      </c>
      <c r="G50" s="125"/>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2"/>
      <c r="AN50" s="67" t="s">
        <v>74</v>
      </c>
    </row>
    <row r="51" ht="12.0" customHeight="1">
      <c r="A51" s="37"/>
      <c r="B51" s="54" t="s">
        <v>75</v>
      </c>
      <c r="C51" s="59"/>
      <c r="D51" s="59"/>
      <c r="E51" s="126" t="s">
        <v>76</v>
      </c>
      <c r="F51" s="94" t="s">
        <v>77</v>
      </c>
      <c r="G51" s="95"/>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row>
    <row r="52" ht="12.0" customHeight="1">
      <c r="A52" s="37"/>
      <c r="B52" s="77"/>
      <c r="C52" s="37"/>
      <c r="D52" s="37"/>
      <c r="E52" s="127" t="s">
        <v>78</v>
      </c>
      <c r="F52" s="128">
        <v>30.0</v>
      </c>
      <c r="G52" s="98" t="s">
        <v>79</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66"/>
      <c r="AN52" s="115">
        <f>((((TJMAX-TAMB)/ThetaJA)/(CLMAX^2))*1000)*NUMFETS^2</f>
        <v>14.32128142</v>
      </c>
      <c r="AO52" s="115">
        <f>((TJMAX-TAMB)/ThetaJA)</f>
        <v>2.166666667</v>
      </c>
    </row>
    <row r="53" ht="12.0" customHeight="1">
      <c r="A53" s="37"/>
      <c r="B53" s="77"/>
      <c r="C53" s="37"/>
      <c r="D53" s="37"/>
      <c r="E53" s="127" t="s">
        <v>80</v>
      </c>
      <c r="F53" s="97">
        <v>1.0</v>
      </c>
      <c r="G53" s="98" t="s">
        <v>81</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66"/>
      <c r="AN53" s="129" t="s">
        <v>82</v>
      </c>
    </row>
    <row r="54" ht="15.75" customHeight="1">
      <c r="A54" s="37"/>
      <c r="B54" s="77"/>
      <c r="C54" s="37"/>
      <c r="D54" s="37"/>
      <c r="E54" s="127" t="s">
        <v>83</v>
      </c>
      <c r="F54" s="97">
        <v>7.0</v>
      </c>
      <c r="G54" s="98" t="s">
        <v>84</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66"/>
      <c r="AN54" s="67">
        <f t="shared" ref="AN54:AN60" si="1">F54</f>
        <v>7</v>
      </c>
    </row>
    <row r="55" ht="12.0" customHeight="1">
      <c r="A55" s="37"/>
      <c r="B55" s="130"/>
      <c r="C55" s="37"/>
      <c r="D55" s="37"/>
      <c r="E55" s="127" t="s">
        <v>85</v>
      </c>
      <c r="F55" s="97">
        <v>150.0</v>
      </c>
      <c r="G55" s="98" t="s">
        <v>86</v>
      </c>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66"/>
      <c r="AN55" s="67">
        <f t="shared" si="1"/>
        <v>150</v>
      </c>
    </row>
    <row r="56" ht="21.75" customHeight="1">
      <c r="A56" s="37"/>
      <c r="B56" s="131"/>
      <c r="C56" s="37"/>
      <c r="D56" s="37"/>
      <c r="E56" s="127" t="s">
        <v>87</v>
      </c>
      <c r="F56" s="97">
        <v>150.0</v>
      </c>
      <c r="G56" s="98" t="s">
        <v>44</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66"/>
      <c r="AN56" s="67">
        <f t="shared" si="1"/>
        <v>150</v>
      </c>
    </row>
    <row r="57" ht="15.75" customHeight="1">
      <c r="A57" s="37"/>
      <c r="B57" s="132" t="s">
        <v>75</v>
      </c>
      <c r="C57" s="37"/>
      <c r="D57" s="37"/>
      <c r="E57" s="127" t="s">
        <v>88</v>
      </c>
      <c r="F57" s="97">
        <v>16.0</v>
      </c>
      <c r="G57" s="98" t="s">
        <v>44</v>
      </c>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66"/>
      <c r="AN57" s="67">
        <f t="shared" si="1"/>
        <v>16</v>
      </c>
    </row>
    <row r="58" ht="12.0" customHeight="1">
      <c r="A58" s="37"/>
      <c r="B58" s="131"/>
      <c r="C58" s="37"/>
      <c r="D58" s="37"/>
      <c r="E58" s="127" t="s">
        <v>89</v>
      </c>
      <c r="F58" s="97">
        <v>3.0</v>
      </c>
      <c r="G58" s="98" t="s">
        <v>44</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66"/>
      <c r="AN58" s="67">
        <f t="shared" si="1"/>
        <v>3</v>
      </c>
    </row>
    <row r="59" ht="15.75" customHeight="1">
      <c r="A59" s="37"/>
      <c r="B59" s="131"/>
      <c r="C59" s="37"/>
      <c r="D59" s="37"/>
      <c r="E59" s="127" t="s">
        <v>90</v>
      </c>
      <c r="F59" s="97">
        <v>0.7</v>
      </c>
      <c r="G59" s="98" t="s">
        <v>44</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66"/>
      <c r="AN59" s="67">
        <f t="shared" si="1"/>
        <v>0.7</v>
      </c>
      <c r="AS59" s="133"/>
    </row>
    <row r="60" ht="19.5" customHeight="1">
      <c r="A60" s="37"/>
      <c r="B60" s="131"/>
      <c r="C60" s="37"/>
      <c r="D60" s="37"/>
      <c r="E60" s="127" t="s">
        <v>91</v>
      </c>
      <c r="F60" s="97">
        <v>0.3</v>
      </c>
      <c r="G60" s="98" t="s">
        <v>44</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66"/>
      <c r="AN60" s="67">
        <f t="shared" si="1"/>
        <v>0.3</v>
      </c>
      <c r="AS60" s="72"/>
    </row>
    <row r="61" ht="15.0" customHeight="1">
      <c r="A61" s="37"/>
      <c r="B61" s="133" t="s">
        <v>92</v>
      </c>
      <c r="C61" s="37"/>
      <c r="D61" s="37"/>
      <c r="E61" s="127" t="s">
        <v>93</v>
      </c>
      <c r="F61" s="134">
        <f>(IOUTMAX/NUMFETS)^2*RDSON/1000</f>
        <v>0.448</v>
      </c>
      <c r="G61" s="98" t="s">
        <v>59</v>
      </c>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66"/>
      <c r="AS61" s="72"/>
    </row>
    <row r="62" ht="15.0" customHeight="1">
      <c r="A62" s="37"/>
      <c r="B62" s="72"/>
      <c r="C62" s="37"/>
      <c r="D62" s="37"/>
      <c r="E62" s="127" t="s">
        <v>94</v>
      </c>
      <c r="F62" s="134">
        <f>TAMB+(FETPDISS*ThetaJA)</f>
        <v>98.44</v>
      </c>
      <c r="G62" s="98" t="s">
        <v>95</v>
      </c>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66"/>
      <c r="AS62" s="72"/>
    </row>
    <row r="63" ht="15.0" customHeight="1">
      <c r="A63" s="37"/>
      <c r="B63" s="72"/>
      <c r="C63" s="37"/>
      <c r="D63" s="37"/>
      <c r="E63" s="78" t="s">
        <v>96</v>
      </c>
      <c r="F63" s="134">
        <f>Equations!F38</f>
        <v>30</v>
      </c>
      <c r="G63" s="98" t="s">
        <v>59</v>
      </c>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66"/>
      <c r="AS63" s="72"/>
    </row>
    <row r="64" ht="15.0" customHeight="1">
      <c r="A64" s="37"/>
      <c r="B64" s="72"/>
      <c r="C64" s="37"/>
      <c r="D64" s="37"/>
      <c r="E64" s="78" t="s">
        <v>97</v>
      </c>
      <c r="F64" s="135">
        <v>50.0</v>
      </c>
      <c r="G64" s="98" t="s">
        <v>59</v>
      </c>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66"/>
      <c r="AS64" s="72"/>
    </row>
    <row r="65" ht="15.0" customHeight="1">
      <c r="A65" s="37"/>
      <c r="B65" s="72"/>
      <c r="C65" s="37"/>
      <c r="D65" s="37"/>
      <c r="E65" s="78" t="s">
        <v>98</v>
      </c>
      <c r="F65" s="136">
        <f>Equations!F40</f>
        <v>31.25</v>
      </c>
      <c r="G65" s="98" t="s">
        <v>99</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66"/>
      <c r="AS65" s="73"/>
    </row>
    <row r="66" ht="15.0" customHeight="1">
      <c r="A66" s="37"/>
      <c r="B66" s="72"/>
      <c r="C66" s="37"/>
      <c r="D66" s="37"/>
      <c r="E66" s="78" t="s">
        <v>100</v>
      </c>
      <c r="F66" s="97">
        <v>31.0</v>
      </c>
      <c r="G66" s="98" t="s">
        <v>101</v>
      </c>
      <c r="H66" s="37"/>
      <c r="I66" s="137" t="s">
        <v>102</v>
      </c>
      <c r="J66" s="86"/>
      <c r="K66" s="86"/>
      <c r="L66" s="86"/>
      <c r="M66" s="50"/>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66"/>
    </row>
    <row r="67" ht="15.0" customHeight="1">
      <c r="A67" s="37"/>
      <c r="B67" s="73"/>
      <c r="C67" s="37"/>
      <c r="D67" s="37"/>
      <c r="E67" s="78" t="s">
        <v>103</v>
      </c>
      <c r="F67" s="136">
        <f>Equations!F42</f>
        <v>49.6</v>
      </c>
      <c r="G67" s="98" t="s">
        <v>59</v>
      </c>
      <c r="H67" s="37"/>
      <c r="I67" s="138"/>
      <c r="J67" s="25"/>
      <c r="K67" s="25"/>
      <c r="L67" s="25"/>
      <c r="M67" s="139"/>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66"/>
    </row>
    <row r="68" ht="12.0" customHeight="1">
      <c r="A68" s="37"/>
      <c r="B68" s="54" t="s">
        <v>104</v>
      </c>
      <c r="C68" s="59"/>
      <c r="D68" s="59"/>
      <c r="E68" s="126" t="s">
        <v>105</v>
      </c>
      <c r="F68" s="94">
        <v>0.0</v>
      </c>
      <c r="G68" s="95" t="s">
        <v>40</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60"/>
      <c r="AN68" s="67"/>
    </row>
    <row r="69" ht="12.0" customHeight="1">
      <c r="A69" s="37"/>
      <c r="B69" s="140"/>
      <c r="C69" s="37"/>
      <c r="D69" s="37"/>
      <c r="E69" s="127" t="s">
        <v>106</v>
      </c>
      <c r="F69" s="97" t="s">
        <v>107</v>
      </c>
      <c r="G69" s="98"/>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66"/>
      <c r="AN69" s="67"/>
    </row>
    <row r="70" ht="12.0" customHeight="1">
      <c r="A70" s="37"/>
      <c r="B70" s="77"/>
      <c r="C70" s="37"/>
      <c r="D70" s="37"/>
      <c r="E70" s="127" t="s">
        <v>108</v>
      </c>
      <c r="F70" s="97">
        <v>0.0</v>
      </c>
      <c r="G70" s="98" t="str">
        <f>IF(F69="Constant Current","A","Ohms")</f>
        <v>A</v>
      </c>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66"/>
      <c r="AN70" s="115" t="s">
        <v>107</v>
      </c>
    </row>
    <row r="71" ht="12.0" customHeight="1">
      <c r="A71" s="37"/>
      <c r="B71" s="77"/>
      <c r="C71" s="37"/>
      <c r="D71" s="37"/>
      <c r="E71" s="78" t="s">
        <v>109</v>
      </c>
      <c r="F71" s="97" t="s">
        <v>28</v>
      </c>
      <c r="G71" s="98"/>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66"/>
      <c r="AN71" s="115" t="s">
        <v>110</v>
      </c>
    </row>
    <row r="72" ht="12.0" customHeight="1">
      <c r="A72" s="37"/>
      <c r="B72" s="77"/>
      <c r="C72" s="37"/>
      <c r="D72" s="37"/>
      <c r="E72" s="127" t="s">
        <v>111</v>
      </c>
      <c r="F72" s="141">
        <f>Start_up!M2</f>
        <v>249.375</v>
      </c>
      <c r="G72" s="98" t="s">
        <v>112</v>
      </c>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66"/>
      <c r="AN72" s="67"/>
    </row>
    <row r="73" ht="12.0" customHeight="1">
      <c r="A73" s="37"/>
      <c r="B73" s="77"/>
      <c r="C73" s="37"/>
      <c r="D73" s="37"/>
      <c r="E73" s="127" t="s">
        <v>113</v>
      </c>
      <c r="F73" s="142">
        <f>Start_up!O2</f>
        <v>1</v>
      </c>
      <c r="G73" s="98"/>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66"/>
      <c r="AN73" s="67"/>
    </row>
    <row r="74" ht="12.75" customHeight="1">
      <c r="A74" s="37"/>
      <c r="B74" s="140"/>
      <c r="C74" s="37"/>
      <c r="D74" s="47"/>
      <c r="E74" s="143" t="s">
        <v>114</v>
      </c>
      <c r="F74" s="141">
        <f>Equations!F55</f>
        <v>374.0625</v>
      </c>
      <c r="G74" s="98" t="s">
        <v>112</v>
      </c>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66"/>
    </row>
    <row r="75" ht="12.0" customHeight="1">
      <c r="A75" s="37"/>
      <c r="B75" s="77"/>
      <c r="C75" s="37"/>
      <c r="D75" s="47"/>
      <c r="E75" s="144" t="s">
        <v>115</v>
      </c>
      <c r="F75" s="141">
        <f>Equations!F56</f>
        <v>7948.828125</v>
      </c>
      <c r="G75" s="98" t="s">
        <v>116</v>
      </c>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66"/>
    </row>
    <row r="76" ht="15.0" customHeight="1">
      <c r="A76" s="37"/>
      <c r="B76" s="77"/>
      <c r="C76" s="37"/>
      <c r="D76" s="47"/>
      <c r="E76" s="144" t="s">
        <v>117</v>
      </c>
      <c r="F76" s="97">
        <v>470.0</v>
      </c>
      <c r="G76" s="98" t="s">
        <v>116</v>
      </c>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66"/>
    </row>
    <row r="77" ht="15.0" customHeight="1">
      <c r="A77" s="37"/>
      <c r="B77" s="77"/>
      <c r="C77" s="37"/>
      <c r="D77" s="47"/>
      <c r="E77" s="144" t="s">
        <v>118</v>
      </c>
      <c r="F77" s="141">
        <f>Equations!F58</f>
        <v>22.11764706</v>
      </c>
      <c r="G77" s="98" t="s">
        <v>112</v>
      </c>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66"/>
    </row>
    <row r="78" ht="15.0" customHeight="1">
      <c r="A78" s="37"/>
      <c r="B78" s="145" t="s">
        <v>104</v>
      </c>
      <c r="C78" s="37"/>
      <c r="D78" s="47"/>
      <c r="E78" s="144" t="s">
        <v>119</v>
      </c>
      <c r="F78" s="141">
        <f>Equations!F59</f>
        <v>1.973423254</v>
      </c>
      <c r="G78" s="98"/>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66"/>
    </row>
    <row r="79" ht="15.0" customHeight="1">
      <c r="A79" s="37"/>
      <c r="B79" s="77"/>
      <c r="C79" s="37"/>
      <c r="D79" s="47"/>
      <c r="E79" s="144" t="s">
        <v>120</v>
      </c>
      <c r="F79" s="97" t="s">
        <v>28</v>
      </c>
      <c r="G79" s="98"/>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66"/>
    </row>
    <row r="80" ht="15.0" customHeight="1">
      <c r="A80" s="37"/>
      <c r="B80" s="77"/>
      <c r="C80" s="37"/>
      <c r="D80" s="47"/>
      <c r="E80" s="144" t="s">
        <v>121</v>
      </c>
      <c r="F80" s="141">
        <f>dv_dt_recommendations!J28</f>
        <v>0.134471864</v>
      </c>
      <c r="G80" s="98" t="s">
        <v>122</v>
      </c>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66"/>
    </row>
    <row r="81" ht="15.0" customHeight="1">
      <c r="A81" s="37"/>
      <c r="B81" s="77"/>
      <c r="C81" s="37"/>
      <c r="D81" s="47"/>
      <c r="E81" s="144" t="s">
        <v>123</v>
      </c>
      <c r="F81" s="141">
        <f>dv_dt_recommendations!J29</f>
        <v>0.1070855982</v>
      </c>
      <c r="G81" s="98" t="s">
        <v>122</v>
      </c>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66"/>
    </row>
    <row r="82" ht="15.0" customHeight="1">
      <c r="A82" s="37"/>
      <c r="B82" s="77"/>
      <c r="C82" s="37"/>
      <c r="D82" s="47"/>
      <c r="E82" s="146" t="s">
        <v>124</v>
      </c>
      <c r="F82" s="97">
        <v>0.12</v>
      </c>
      <c r="G82" s="98" t="s">
        <v>122</v>
      </c>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66"/>
    </row>
    <row r="83" ht="15.0" customHeight="1">
      <c r="A83" s="37"/>
      <c r="B83" s="77"/>
      <c r="C83" s="37"/>
      <c r="D83" s="47"/>
      <c r="E83" s="146" t="s">
        <v>125</v>
      </c>
      <c r="F83" s="141">
        <f>Equations!F62</f>
        <v>133.3333333</v>
      </c>
      <c r="G83" s="147" t="s">
        <v>116</v>
      </c>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66"/>
    </row>
    <row r="84" ht="15.0" customHeight="1">
      <c r="A84" s="37"/>
      <c r="B84" s="148" t="s">
        <v>126</v>
      </c>
      <c r="C84" s="50"/>
      <c r="D84" s="47"/>
      <c r="E84" s="146" t="s">
        <v>127</v>
      </c>
      <c r="F84" s="97">
        <v>133.0</v>
      </c>
      <c r="G84" s="98" t="s">
        <v>116</v>
      </c>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66"/>
    </row>
    <row r="85" ht="15.0" customHeight="1">
      <c r="A85" s="37"/>
      <c r="B85" s="22"/>
      <c r="C85" s="149"/>
      <c r="D85" s="47"/>
      <c r="E85" s="146" t="s">
        <v>128</v>
      </c>
      <c r="F85" s="141">
        <f>Equations!F64</f>
        <v>0.1203007519</v>
      </c>
      <c r="G85" s="98" t="s">
        <v>122</v>
      </c>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66"/>
    </row>
    <row r="86" ht="16.5" customHeight="1">
      <c r="A86" s="37"/>
      <c r="B86" s="22"/>
      <c r="C86" s="149"/>
      <c r="D86" s="47"/>
      <c r="E86" s="146" t="s">
        <v>129</v>
      </c>
      <c r="F86" s="141">
        <f>Equations!F71</f>
        <v>1.586309854</v>
      </c>
      <c r="G86" s="98"/>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66"/>
    </row>
    <row r="87" ht="16.5" customHeight="1">
      <c r="A87" s="37"/>
      <c r="B87" s="22"/>
      <c r="C87" s="149"/>
      <c r="D87" s="47"/>
      <c r="E87" s="146" t="s">
        <v>130</v>
      </c>
      <c r="F87" s="97">
        <v>2.5</v>
      </c>
      <c r="G87" s="98" t="s">
        <v>112</v>
      </c>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66"/>
    </row>
    <row r="88" ht="16.5" customHeight="1">
      <c r="A88" s="37"/>
      <c r="B88" s="150"/>
      <c r="C88" s="53"/>
      <c r="D88" s="47"/>
      <c r="E88" s="146" t="s">
        <v>131</v>
      </c>
      <c r="F88" s="141">
        <f>Equations!F76</f>
        <v>53.125</v>
      </c>
      <c r="G88" s="98" t="s">
        <v>116</v>
      </c>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66"/>
    </row>
    <row r="89" ht="16.5" customHeight="1">
      <c r="A89" s="37"/>
      <c r="B89" s="77"/>
      <c r="C89" s="37"/>
      <c r="D89" s="47"/>
      <c r="E89" s="146" t="s">
        <v>132</v>
      </c>
      <c r="F89" s="97">
        <v>56.0</v>
      </c>
      <c r="G89" s="98" t="s">
        <v>116</v>
      </c>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66"/>
    </row>
    <row r="90" ht="15.0" customHeight="1">
      <c r="A90" s="37"/>
      <c r="B90" s="77"/>
      <c r="C90" s="37"/>
      <c r="D90" s="47"/>
      <c r="E90" s="144" t="s">
        <v>133</v>
      </c>
      <c r="F90" s="141">
        <f>Equations!F78</f>
        <v>2.635294118</v>
      </c>
      <c r="G90" s="98" t="s">
        <v>112</v>
      </c>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66" t="s">
        <v>134</v>
      </c>
    </row>
    <row r="91" ht="15.0" customHeight="1">
      <c r="A91" s="37"/>
      <c r="B91" s="77"/>
      <c r="C91" s="37"/>
      <c r="D91" s="47"/>
      <c r="E91" s="144" t="s">
        <v>135</v>
      </c>
      <c r="F91" s="141">
        <f>Equations!F80</f>
        <v>1.973423254</v>
      </c>
      <c r="G91" s="98"/>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66"/>
    </row>
    <row r="92" ht="14.25" customHeight="1">
      <c r="A92" s="37"/>
      <c r="B92" s="77"/>
      <c r="C92" s="37"/>
      <c r="D92" s="47"/>
      <c r="E92" s="143" t="s">
        <v>136</v>
      </c>
      <c r="F92" s="151">
        <f>Equations!F107</f>
        <v>40.72727273</v>
      </c>
      <c r="G92" s="98" t="s">
        <v>112</v>
      </c>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66"/>
    </row>
    <row r="93" ht="15.0" customHeight="1">
      <c r="A93" s="37"/>
      <c r="B93" s="77"/>
      <c r="C93" s="37"/>
      <c r="D93" s="47"/>
      <c r="E93" s="143" t="s">
        <v>137</v>
      </c>
      <c r="F93" s="141">
        <f>Equations!F110</f>
        <v>526.7623529</v>
      </c>
      <c r="G93" s="98" t="s">
        <v>112</v>
      </c>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66"/>
    </row>
    <row r="94" ht="15.0" customHeight="1">
      <c r="A94" s="37"/>
      <c r="B94" s="54" t="s">
        <v>138</v>
      </c>
      <c r="C94" s="106"/>
      <c r="D94" s="59"/>
      <c r="E94" s="93" t="s">
        <v>139</v>
      </c>
      <c r="F94" s="94" t="s">
        <v>140</v>
      </c>
      <c r="G94" s="152"/>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60"/>
      <c r="AN94" s="67" t="s">
        <v>141</v>
      </c>
    </row>
    <row r="95" ht="15.0" customHeight="1">
      <c r="A95" s="37"/>
      <c r="B95" s="77"/>
      <c r="C95" s="37"/>
      <c r="D95" s="37"/>
      <c r="E95" s="78" t="s">
        <v>142</v>
      </c>
      <c r="F95" s="97">
        <v>10.0</v>
      </c>
      <c r="G95" s="102" t="s">
        <v>40</v>
      </c>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66"/>
      <c r="AN95" s="67" t="s">
        <v>140</v>
      </c>
    </row>
    <row r="96" ht="15.0" customHeight="1">
      <c r="A96" s="37"/>
      <c r="B96" s="77"/>
      <c r="C96" s="37"/>
      <c r="D96" s="37"/>
      <c r="E96" s="78" t="s">
        <v>143</v>
      </c>
      <c r="F96" s="97">
        <v>9.0</v>
      </c>
      <c r="G96" s="102" t="s">
        <v>40</v>
      </c>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66"/>
      <c r="AN96" s="115" t="s">
        <v>144</v>
      </c>
    </row>
    <row r="97" ht="15.0" customHeight="1">
      <c r="A97" s="37"/>
      <c r="B97" s="77"/>
      <c r="C97" s="37"/>
      <c r="D97" s="37"/>
      <c r="E97" s="78" t="s">
        <v>145</v>
      </c>
      <c r="F97" s="97">
        <v>30.0</v>
      </c>
      <c r="G97" s="102" t="s">
        <v>40</v>
      </c>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66"/>
      <c r="AN97" s="115" t="s">
        <v>146</v>
      </c>
    </row>
    <row r="98" ht="15.0" customHeight="1">
      <c r="A98" s="37"/>
      <c r="B98" s="77"/>
      <c r="C98" s="37"/>
      <c r="D98" s="37"/>
      <c r="E98" s="153" t="s">
        <v>147</v>
      </c>
      <c r="F98" s="97">
        <v>29.0</v>
      </c>
      <c r="G98" s="102" t="s">
        <v>40</v>
      </c>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66"/>
    </row>
    <row r="99" ht="15.0" customHeight="1">
      <c r="A99" s="37"/>
      <c r="B99" s="77"/>
      <c r="C99" s="37"/>
      <c r="D99" s="37"/>
      <c r="E99" s="154" t="s">
        <v>148</v>
      </c>
      <c r="F99" s="155">
        <f>IF(F94="Option A",Equations!F128,Equations!G128)</f>
        <v>47.61904762</v>
      </c>
      <c r="G99" s="102" t="s">
        <v>149</v>
      </c>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66"/>
    </row>
    <row r="100" ht="15.0" customHeight="1">
      <c r="A100" s="37"/>
      <c r="B100" s="77"/>
      <c r="C100" s="37"/>
      <c r="D100" s="37"/>
      <c r="E100" s="153" t="s">
        <v>150</v>
      </c>
      <c r="F100" s="155">
        <f>IF(F94="Option A",Equations!F129,Equations!G129)</f>
        <v>18.31501832</v>
      </c>
      <c r="G100" s="102" t="s">
        <v>151</v>
      </c>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66"/>
    </row>
    <row r="101" ht="15.0" customHeight="1">
      <c r="A101" s="37"/>
      <c r="B101" s="156" t="s">
        <v>138</v>
      </c>
      <c r="C101" s="37"/>
      <c r="D101" s="37"/>
      <c r="E101" s="153" t="s">
        <v>152</v>
      </c>
      <c r="F101" s="155">
        <f>IF(F94="Option A",Equations!F130,Equations!G130)</f>
        <v>47.61904762</v>
      </c>
      <c r="G101" s="102" t="s">
        <v>153</v>
      </c>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66"/>
    </row>
    <row r="102" ht="15.0" customHeight="1">
      <c r="A102" s="37"/>
      <c r="B102" s="77"/>
      <c r="C102" s="37"/>
      <c r="D102" s="37"/>
      <c r="E102" s="153" t="s">
        <v>154</v>
      </c>
      <c r="F102" s="155">
        <f>IF(F94="Option A",Equations!F131,Equations!G131)</f>
        <v>4.329004329</v>
      </c>
      <c r="G102" s="102" t="s">
        <v>155</v>
      </c>
      <c r="H102" s="37"/>
      <c r="I102" s="37"/>
      <c r="J102" s="15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66"/>
    </row>
    <row r="103" ht="15.0" customHeight="1">
      <c r="A103" s="37"/>
      <c r="B103" s="77"/>
      <c r="C103" s="37"/>
      <c r="D103" s="37"/>
      <c r="E103" s="78" t="s">
        <v>156</v>
      </c>
      <c r="F103" s="97">
        <v>48.7</v>
      </c>
      <c r="G103" s="102" t="s">
        <v>157</v>
      </c>
      <c r="H103" s="37"/>
      <c r="I103" s="37"/>
      <c r="J103" s="15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66"/>
    </row>
    <row r="104" ht="15.0" customHeight="1">
      <c r="A104" s="37"/>
      <c r="B104" s="77"/>
      <c r="C104" s="37"/>
      <c r="D104" s="37"/>
      <c r="E104" s="78" t="s">
        <v>158</v>
      </c>
      <c r="F104" s="97">
        <v>15.8</v>
      </c>
      <c r="G104" s="102" t="s">
        <v>159</v>
      </c>
      <c r="H104" s="37"/>
      <c r="I104" s="37"/>
      <c r="J104" s="15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66"/>
    </row>
    <row r="105" ht="15.0" customHeight="1">
      <c r="A105" s="37"/>
      <c r="B105" s="77"/>
      <c r="C105" s="37"/>
      <c r="D105" s="37"/>
      <c r="E105" s="78" t="s">
        <v>160</v>
      </c>
      <c r="F105" s="97">
        <v>48.7</v>
      </c>
      <c r="G105" s="102" t="s">
        <v>161</v>
      </c>
      <c r="H105" s="37"/>
      <c r="I105" s="37"/>
      <c r="J105" s="15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66"/>
    </row>
    <row r="106" ht="15.0" customHeight="1">
      <c r="A106" s="37"/>
      <c r="B106" s="77"/>
      <c r="C106" s="37"/>
      <c r="D106" s="37"/>
      <c r="E106" s="78" t="s">
        <v>162</v>
      </c>
      <c r="F106" s="97">
        <v>4.32</v>
      </c>
      <c r="G106" s="102" t="s">
        <v>163</v>
      </c>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66"/>
    </row>
    <row r="107" ht="15.0" customHeight="1">
      <c r="A107" s="37"/>
      <c r="B107" s="77"/>
      <c r="C107" s="37"/>
      <c r="D107" s="37"/>
      <c r="E107" s="37"/>
      <c r="F107" s="37"/>
      <c r="G107" s="158"/>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66"/>
    </row>
    <row r="108" ht="15.0" customHeight="1">
      <c r="A108" s="37"/>
      <c r="B108" s="77"/>
      <c r="C108" s="159" t="s">
        <v>164</v>
      </c>
      <c r="D108" s="160" t="s">
        <v>165</v>
      </c>
      <c r="E108" s="160" t="s">
        <v>166</v>
      </c>
      <c r="F108" s="160" t="s">
        <v>167</v>
      </c>
      <c r="G108" s="158"/>
      <c r="H108" s="47"/>
      <c r="I108" s="4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66"/>
    </row>
    <row r="109" ht="15.0" customHeight="1">
      <c r="A109" s="37"/>
      <c r="B109" s="77"/>
      <c r="C109" s="127" t="s">
        <v>168</v>
      </c>
      <c r="D109" s="161">
        <f>IF($F$94="Option A",Equations!F132,Equations!G132)</f>
        <v>10.58598228</v>
      </c>
      <c r="E109" s="162">
        <f>IF($F$94="Option A",Equations!F133,Equations!G133)</f>
        <v>11.2283962</v>
      </c>
      <c r="F109" s="163">
        <f>IF($F$94="Option A",Equations!F134,Equations!G134)</f>
        <v>11.87081013</v>
      </c>
      <c r="G109" s="102" t="s">
        <v>40</v>
      </c>
      <c r="H109" s="47"/>
      <c r="I109" s="4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66"/>
    </row>
    <row r="110" ht="15.0" customHeight="1">
      <c r="A110" s="37"/>
      <c r="B110" s="77"/>
      <c r="C110" s="127" t="s">
        <v>169</v>
      </c>
      <c r="D110" s="164">
        <f>IF($F$94="Option A",Equations!F135,Equations!G135)</f>
        <v>10.00158228</v>
      </c>
      <c r="E110" s="141">
        <f>IF($F$94="Option A",Equations!F136,Equations!G136)</f>
        <v>10.2056962</v>
      </c>
      <c r="F110" s="165">
        <f>IF($F$94="Option A",Equations!F137,Equations!G137)</f>
        <v>10.40981013</v>
      </c>
      <c r="G110" s="102" t="s">
        <v>40</v>
      </c>
      <c r="H110" s="47"/>
      <c r="I110" s="4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66"/>
    </row>
    <row r="111" ht="15.0" customHeight="1">
      <c r="A111" s="37"/>
      <c r="B111" s="77"/>
      <c r="C111" s="127" t="s">
        <v>170</v>
      </c>
      <c r="D111" s="164">
        <f>IF($F$94="Option A",Equations!F138,Equations!G138)</f>
        <v>30.06921296</v>
      </c>
      <c r="E111" s="141">
        <f>IF($F$94="Option A",Equations!F139,Equations!G139)</f>
        <v>30.68287037</v>
      </c>
      <c r="F111" s="165">
        <f>IF($F$94="Option A",Equations!F140,Equations!G140)</f>
        <v>31.29652778</v>
      </c>
      <c r="G111" s="102" t="s">
        <v>40</v>
      </c>
      <c r="H111" s="47"/>
      <c r="I111" s="4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66"/>
    </row>
    <row r="112" ht="15.0" customHeight="1">
      <c r="A112" s="37"/>
      <c r="B112" s="77"/>
      <c r="C112" s="127" t="s">
        <v>171</v>
      </c>
      <c r="D112" s="166">
        <f>IF($F$94="Option A",Equations!F141,Equations!G141)</f>
        <v>28.60821296</v>
      </c>
      <c r="E112" s="167">
        <f>IF($F$94="Option A",Equations!F142,Equations!G142)</f>
        <v>29.66017037</v>
      </c>
      <c r="F112" s="168">
        <f>IF($F$94="Option A",Equations!F143,Equations!G143)</f>
        <v>30.71212778</v>
      </c>
      <c r="G112" s="102" t="s">
        <v>40</v>
      </c>
      <c r="H112" s="47"/>
      <c r="I112" s="4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66"/>
    </row>
    <row r="113" ht="15.0" customHeight="1">
      <c r="A113" s="37"/>
      <c r="B113" s="77"/>
      <c r="C113" s="169" t="s">
        <v>172</v>
      </c>
      <c r="D113" s="86"/>
      <c r="E113" s="86"/>
      <c r="F113" s="86"/>
      <c r="G113" s="170"/>
      <c r="H113" s="47"/>
      <c r="I113" s="4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66"/>
    </row>
    <row r="114" ht="15.0" customHeight="1">
      <c r="A114" s="37"/>
      <c r="B114" s="77"/>
      <c r="C114" s="171"/>
      <c r="G114" s="172"/>
      <c r="H114" s="47"/>
      <c r="I114" s="4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66"/>
    </row>
    <row r="115" ht="15.0" customHeight="1">
      <c r="A115" s="37"/>
      <c r="B115" s="77"/>
      <c r="C115" s="63"/>
      <c r="D115" s="64"/>
      <c r="E115" s="64"/>
      <c r="F115" s="64"/>
      <c r="G115" s="173"/>
      <c r="H115" s="47"/>
      <c r="I115" s="4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66"/>
    </row>
    <row r="116" ht="15.0" customHeight="1">
      <c r="A116" s="37"/>
      <c r="B116" s="96"/>
      <c r="C116" s="37"/>
      <c r="D116" s="37"/>
      <c r="E116" s="127" t="s">
        <v>173</v>
      </c>
      <c r="F116" s="42">
        <v>10.0</v>
      </c>
      <c r="G116" s="158" t="s">
        <v>174</v>
      </c>
      <c r="H116" s="37"/>
      <c r="I116" s="6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66"/>
    </row>
    <row r="117" ht="15.0" customHeight="1">
      <c r="A117" s="37"/>
      <c r="B117" s="77"/>
      <c r="C117" s="37"/>
      <c r="D117" s="37"/>
      <c r="E117" s="127"/>
      <c r="F117" s="37"/>
      <c r="G117" s="158"/>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66"/>
    </row>
    <row r="118" ht="15.0" customHeight="1">
      <c r="A118" s="37"/>
      <c r="B118" s="77"/>
      <c r="C118" s="37"/>
      <c r="D118" s="37"/>
      <c r="E118" s="127"/>
      <c r="F118" s="37"/>
      <c r="G118" s="158"/>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66"/>
    </row>
    <row r="119" ht="15.0" customHeight="1">
      <c r="A119" s="37"/>
      <c r="B119" s="77"/>
      <c r="C119" s="37"/>
      <c r="D119" s="37"/>
      <c r="E119" s="127"/>
      <c r="F119" s="37"/>
      <c r="G119" s="158"/>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66"/>
    </row>
    <row r="120" ht="15.0" customHeight="1">
      <c r="A120" s="37"/>
      <c r="B120" s="77"/>
      <c r="C120" s="89"/>
      <c r="D120" s="89"/>
      <c r="E120" s="37"/>
      <c r="F120" s="37"/>
      <c r="G120" s="174"/>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92"/>
    </row>
    <row r="121" ht="18.75" customHeight="1">
      <c r="A121" s="37"/>
      <c r="B121" s="54" t="s">
        <v>175</v>
      </c>
      <c r="C121" s="59"/>
      <c r="D121" s="59"/>
      <c r="E121" s="175" t="s">
        <v>176</v>
      </c>
      <c r="F121" s="176">
        <f>Rs</f>
        <v>5</v>
      </c>
      <c r="G121" s="95" t="s">
        <v>177</v>
      </c>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60"/>
    </row>
    <row r="122" ht="15.0" customHeight="1">
      <c r="A122" s="37"/>
      <c r="B122" s="96"/>
      <c r="C122" s="37"/>
      <c r="D122" s="37"/>
      <c r="E122" s="177" t="s">
        <v>178</v>
      </c>
      <c r="F122" s="178" t="str">
        <f>IF(RsMAX&gt;Rs,"DNP",RDIV1)</f>
        <v>DNP</v>
      </c>
      <c r="G122" s="113" t="s">
        <v>59</v>
      </c>
      <c r="H122" s="37"/>
      <c r="I122" s="3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179"/>
    </row>
    <row r="123" ht="14.25" customHeight="1">
      <c r="A123" s="37"/>
      <c r="B123" s="96"/>
      <c r="C123" s="37"/>
      <c r="D123" s="37"/>
      <c r="E123" s="177" t="s">
        <v>179</v>
      </c>
      <c r="F123" s="178" t="str">
        <f>IF(RsMAX&gt;Rs,"0",RDIV2)</f>
        <v>0</v>
      </c>
      <c r="G123" s="113" t="s">
        <v>59</v>
      </c>
      <c r="H123" s="37"/>
      <c r="I123" s="3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179"/>
    </row>
    <row r="124" ht="15.0" customHeight="1">
      <c r="A124" s="37"/>
      <c r="B124" s="77"/>
      <c r="C124" s="37"/>
      <c r="D124" s="37"/>
      <c r="E124" s="78" t="s">
        <v>180</v>
      </c>
      <c r="F124" s="180">
        <f>F66</f>
        <v>31</v>
      </c>
      <c r="G124" s="98" t="s">
        <v>181</v>
      </c>
      <c r="H124" s="37"/>
      <c r="I124" s="37"/>
      <c r="J124" s="39"/>
      <c r="K124" s="160" t="s">
        <v>182</v>
      </c>
      <c r="L124" s="181" t="s">
        <v>183</v>
      </c>
      <c r="M124" s="47"/>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3"/>
    </row>
    <row r="125" ht="15.0" customHeight="1">
      <c r="A125" s="37"/>
      <c r="B125" s="77"/>
      <c r="C125" s="37"/>
      <c r="D125" s="37"/>
      <c r="E125" s="78" t="s">
        <v>184</v>
      </c>
      <c r="F125" s="141">
        <f>IF(F71="YES", F89, F76)</f>
        <v>56</v>
      </c>
      <c r="G125" s="98" t="s">
        <v>116</v>
      </c>
      <c r="H125" s="37"/>
      <c r="I125" s="37"/>
      <c r="J125" s="127" t="s">
        <v>185</v>
      </c>
      <c r="K125" s="184">
        <f>F46</f>
        <v>11</v>
      </c>
      <c r="L125" s="37" t="s">
        <v>44</v>
      </c>
      <c r="M125" s="4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66"/>
    </row>
    <row r="126" ht="15.0" customHeight="1">
      <c r="A126" s="37"/>
      <c r="B126" s="77"/>
      <c r="C126" s="37"/>
      <c r="D126" s="37"/>
      <c r="E126" s="78" t="s">
        <v>186</v>
      </c>
      <c r="F126" s="180">
        <f t="shared" ref="F126:F128" si="2">F103</f>
        <v>48.7</v>
      </c>
      <c r="G126" s="98" t="s">
        <v>187</v>
      </c>
      <c r="H126" s="37"/>
      <c r="I126" s="37"/>
      <c r="J126" s="127" t="s">
        <v>188</v>
      </c>
      <c r="K126" s="185">
        <f>F67</f>
        <v>49.6</v>
      </c>
      <c r="L126" s="37" t="s">
        <v>59</v>
      </c>
      <c r="M126" s="4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66"/>
    </row>
    <row r="127" ht="15.0" customHeight="1">
      <c r="A127" s="37"/>
      <c r="B127" s="77"/>
      <c r="C127" s="37"/>
      <c r="D127" s="37"/>
      <c r="E127" s="78" t="s">
        <v>189</v>
      </c>
      <c r="F127" s="180">
        <f t="shared" si="2"/>
        <v>15.8</v>
      </c>
      <c r="G127" s="98" t="s">
        <v>190</v>
      </c>
      <c r="H127" s="37"/>
      <c r="I127" s="37"/>
      <c r="J127" s="146" t="s">
        <v>191</v>
      </c>
      <c r="K127" s="186">
        <f>F46</f>
        <v>11</v>
      </c>
      <c r="L127" s="37" t="s">
        <v>44</v>
      </c>
      <c r="M127" s="4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66"/>
    </row>
    <row r="128" ht="15.0" customHeight="1">
      <c r="A128" s="37"/>
      <c r="B128" s="77"/>
      <c r="C128" s="37"/>
      <c r="D128" s="37"/>
      <c r="E128" s="78" t="s">
        <v>192</v>
      </c>
      <c r="F128" s="180">
        <f t="shared" si="2"/>
        <v>48.7</v>
      </c>
      <c r="G128" s="98" t="s">
        <v>193</v>
      </c>
      <c r="H128" s="37"/>
      <c r="I128" s="37"/>
      <c r="J128" s="127" t="s">
        <v>194</v>
      </c>
      <c r="K128" s="187">
        <f>IF(F71="YES",Equations!F66,Start_up!M2)</f>
        <v>249.375</v>
      </c>
      <c r="L128" s="37" t="s">
        <v>112</v>
      </c>
      <c r="M128" s="4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66"/>
    </row>
    <row r="129" ht="15.0" customHeight="1">
      <c r="A129" s="37"/>
      <c r="B129" s="77"/>
      <c r="C129" s="37"/>
      <c r="D129" s="37"/>
      <c r="E129" s="78" t="s">
        <v>195</v>
      </c>
      <c r="F129" s="188">
        <f>IF(F94="Option A","N/A",F106)</f>
        <v>4.32</v>
      </c>
      <c r="G129" s="98" t="s">
        <v>196</v>
      </c>
      <c r="H129" s="37"/>
      <c r="I129" s="37"/>
      <c r="J129" s="127" t="s">
        <v>197</v>
      </c>
      <c r="K129" s="189">
        <f>TINSERT</f>
        <v>40.72727273</v>
      </c>
      <c r="L129" s="37" t="s">
        <v>112</v>
      </c>
      <c r="M129" s="4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66"/>
    </row>
    <row r="130" ht="15.0" customHeight="1">
      <c r="A130" s="37"/>
      <c r="B130" s="77"/>
      <c r="C130" s="37"/>
      <c r="D130" s="37"/>
      <c r="E130" s="78" t="s">
        <v>198</v>
      </c>
      <c r="F130" s="190">
        <f>IF(F71="YES", F84, "DNP")</f>
        <v>133</v>
      </c>
      <c r="G130" s="98" t="s">
        <v>116</v>
      </c>
      <c r="H130" s="37"/>
      <c r="I130" s="37"/>
      <c r="J130" s="127" t="s">
        <v>199</v>
      </c>
      <c r="K130" s="187">
        <f>IF(F71="YES", F90,F77)</f>
        <v>2.635294118</v>
      </c>
      <c r="L130" s="37" t="s">
        <v>112</v>
      </c>
      <c r="M130" s="4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66"/>
    </row>
    <row r="131" ht="15.0" customHeight="1">
      <c r="A131" s="37"/>
      <c r="B131" s="77"/>
      <c r="C131" s="37"/>
      <c r="D131" s="37"/>
      <c r="E131" s="78" t="s">
        <v>200</v>
      </c>
      <c r="F131" s="191">
        <v>0.01</v>
      </c>
      <c r="G131" s="98" t="s">
        <v>46</v>
      </c>
      <c r="H131" s="37"/>
      <c r="I131" s="37"/>
      <c r="J131" s="127" t="s">
        <v>201</v>
      </c>
      <c r="K131" s="192">
        <f>F93</f>
        <v>526.7623529</v>
      </c>
      <c r="L131" s="37" t="s">
        <v>112</v>
      </c>
      <c r="M131" s="4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66"/>
    </row>
    <row r="132" ht="15.0" customHeight="1">
      <c r="A132" s="37"/>
      <c r="B132" s="77"/>
      <c r="C132" s="37"/>
      <c r="D132" s="37"/>
      <c r="E132" s="78" t="s">
        <v>202</v>
      </c>
      <c r="F132" s="193" t="s">
        <v>203</v>
      </c>
      <c r="G132" s="98"/>
      <c r="H132" s="37"/>
      <c r="I132" s="37"/>
      <c r="J132" s="194" t="s">
        <v>204</v>
      </c>
      <c r="K132" s="195">
        <f t="shared" ref="K132:K135" si="3">E109</f>
        <v>11.2283962</v>
      </c>
      <c r="L132" s="37" t="s">
        <v>40</v>
      </c>
      <c r="M132" s="4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66"/>
    </row>
    <row r="133" ht="15.0" customHeight="1">
      <c r="A133" s="37"/>
      <c r="B133" s="77"/>
      <c r="C133" s="37"/>
      <c r="D133" s="37"/>
      <c r="E133" s="78" t="s">
        <v>205</v>
      </c>
      <c r="F133" s="196" t="s">
        <v>206</v>
      </c>
      <c r="G133" s="98"/>
      <c r="H133" s="37"/>
      <c r="I133" s="37"/>
      <c r="J133" s="194" t="s">
        <v>207</v>
      </c>
      <c r="K133" s="195">
        <f t="shared" si="3"/>
        <v>10.2056962</v>
      </c>
      <c r="L133" s="37" t="s">
        <v>40</v>
      </c>
      <c r="M133" s="4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66"/>
    </row>
    <row r="134" ht="15.0" customHeight="1">
      <c r="A134" s="37"/>
      <c r="B134" s="77"/>
      <c r="C134" s="37"/>
      <c r="D134" s="37"/>
      <c r="E134" s="78" t="s">
        <v>208</v>
      </c>
      <c r="F134" s="197" t="s">
        <v>77</v>
      </c>
      <c r="G134" s="98"/>
      <c r="H134" s="37"/>
      <c r="I134" s="37"/>
      <c r="J134" s="194" t="s">
        <v>209</v>
      </c>
      <c r="K134" s="195">
        <f t="shared" si="3"/>
        <v>30.68287037</v>
      </c>
      <c r="L134" s="37" t="s">
        <v>40</v>
      </c>
      <c r="M134" s="4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66"/>
    </row>
    <row r="135" ht="15.0" customHeight="1">
      <c r="A135" s="37"/>
      <c r="B135" s="77"/>
      <c r="C135" s="37"/>
      <c r="D135" s="37"/>
      <c r="E135" s="78" t="s">
        <v>210</v>
      </c>
      <c r="F135" s="196" t="s">
        <v>211</v>
      </c>
      <c r="G135" s="98"/>
      <c r="H135" s="37"/>
      <c r="I135" s="37"/>
      <c r="J135" s="194" t="s">
        <v>212</v>
      </c>
      <c r="K135" s="195">
        <f t="shared" si="3"/>
        <v>29.66017037</v>
      </c>
      <c r="L135" s="37" t="s">
        <v>40</v>
      </c>
      <c r="M135" s="4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66"/>
    </row>
    <row r="136" ht="15.0" customHeight="1">
      <c r="A136" s="37"/>
      <c r="B136" s="77"/>
      <c r="C136" s="37"/>
      <c r="D136" s="37"/>
      <c r="E136" s="78" t="s">
        <v>213</v>
      </c>
      <c r="F136" s="198" t="s">
        <v>214</v>
      </c>
      <c r="G136" s="98"/>
      <c r="H136" s="37"/>
      <c r="I136" s="37"/>
      <c r="J136" s="194"/>
      <c r="K136" s="199"/>
      <c r="L136" s="37"/>
      <c r="M136" s="4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66"/>
    </row>
    <row r="137" ht="15.0" customHeight="1">
      <c r="A137" s="37"/>
      <c r="B137" s="77"/>
      <c r="C137" s="37"/>
      <c r="D137" s="37"/>
      <c r="F137" s="200"/>
      <c r="G137" s="87"/>
      <c r="H137" s="37"/>
      <c r="I137" s="37"/>
      <c r="J137" s="194"/>
      <c r="K137" s="199"/>
      <c r="L137" s="37"/>
      <c r="M137" s="4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66"/>
    </row>
    <row r="138" ht="15.0" customHeight="1">
      <c r="A138" s="37"/>
      <c r="B138" s="77"/>
      <c r="C138" s="37"/>
      <c r="D138" s="37"/>
      <c r="E138" s="78"/>
      <c r="F138" s="200"/>
      <c r="G138" s="87"/>
      <c r="H138" s="37"/>
      <c r="I138" s="37"/>
      <c r="J138" s="37"/>
      <c r="K138" s="37"/>
      <c r="L138" s="37"/>
      <c r="M138" s="4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66"/>
      <c r="AN138" s="67"/>
    </row>
    <row r="139" ht="12.0" customHeight="1">
      <c r="A139" s="37"/>
      <c r="B139" s="201" t="s">
        <v>215</v>
      </c>
      <c r="C139" s="202" t="s">
        <v>216</v>
      </c>
      <c r="D139" s="127"/>
      <c r="E139" s="202"/>
      <c r="F139" s="203"/>
      <c r="G139" s="39"/>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66"/>
      <c r="AN139" s="67"/>
    </row>
    <row r="140" ht="12.0" customHeight="1">
      <c r="A140" s="37"/>
      <c r="B140" s="77"/>
      <c r="C140" s="202" t="s">
        <v>217</v>
      </c>
      <c r="D140" s="37"/>
      <c r="E140" s="202"/>
      <c r="F140" s="37"/>
      <c r="G140" s="39"/>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66"/>
    </row>
    <row r="141" ht="12.0" customHeight="1">
      <c r="A141" s="37"/>
      <c r="B141" s="77"/>
      <c r="C141" s="202" t="s">
        <v>218</v>
      </c>
      <c r="D141" s="37"/>
      <c r="E141" s="202"/>
      <c r="F141" s="37"/>
      <c r="G141" s="39"/>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66"/>
    </row>
    <row r="142" ht="12.0" customHeight="1">
      <c r="A142" s="37"/>
      <c r="B142" s="88"/>
      <c r="C142" s="89"/>
      <c r="D142" s="89"/>
      <c r="E142" s="204"/>
      <c r="F142" s="89"/>
      <c r="G142" s="205"/>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92"/>
    </row>
    <row r="143" ht="12.0" customHeight="1">
      <c r="A143" s="37"/>
      <c r="B143" s="37"/>
      <c r="C143" s="37"/>
      <c r="D143" s="37"/>
      <c r="E143" s="37"/>
      <c r="F143" s="37"/>
      <c r="G143" s="39"/>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row>
    <row r="144" ht="12.0" customHeight="1">
      <c r="A144" s="37"/>
      <c r="B144" s="206"/>
      <c r="C144" s="37"/>
      <c r="D144" s="37"/>
      <c r="E144" s="37"/>
      <c r="F144" s="47"/>
      <c r="G144" s="46"/>
      <c r="H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row>
    <row r="145" ht="12.0" customHeight="1">
      <c r="A145" s="37"/>
      <c r="B145" s="37"/>
      <c r="C145" s="37"/>
      <c r="D145" s="37"/>
      <c r="E145" s="37"/>
      <c r="F145" s="47"/>
      <c r="G145" s="4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row>
    <row r="146" ht="12.0" customHeight="1">
      <c r="A146" s="37"/>
      <c r="B146" s="37"/>
      <c r="C146" s="37"/>
      <c r="D146" s="37"/>
      <c r="E146" s="37"/>
      <c r="F146" s="47"/>
      <c r="G146" s="4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row>
    <row r="147" ht="12.0" customHeight="1">
      <c r="A147" s="37"/>
      <c r="B147" s="37"/>
      <c r="C147" s="37"/>
      <c r="D147" s="37"/>
      <c r="E147" s="37"/>
      <c r="F147" s="47"/>
      <c r="G147" s="4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row>
    <row r="148" ht="12.0" customHeight="1">
      <c r="A148" s="37"/>
      <c r="B148" s="37"/>
      <c r="C148" s="37"/>
      <c r="D148" s="37"/>
      <c r="E148" s="37"/>
      <c r="F148" s="47"/>
      <c r="G148" s="4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row>
    <row r="149" ht="12.0" customHeight="1">
      <c r="A149" s="37"/>
      <c r="B149" s="37"/>
      <c r="C149" s="37"/>
      <c r="D149" s="37"/>
      <c r="E149" s="37"/>
      <c r="F149" s="47"/>
      <c r="G149" s="46"/>
      <c r="H149" s="47"/>
      <c r="I149" s="47"/>
      <c r="J149" s="4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row>
    <row r="150" ht="12.0" customHeight="1">
      <c r="A150" s="37"/>
      <c r="B150" s="37"/>
      <c r="C150" s="37"/>
      <c r="D150" s="37"/>
      <c r="E150" s="37"/>
      <c r="F150" s="47"/>
      <c r="G150" s="46"/>
      <c r="H150" s="47"/>
      <c r="I150" s="47"/>
      <c r="J150" s="4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row>
    <row r="151" ht="12.0" customHeight="1">
      <c r="A151" s="37"/>
      <c r="B151" s="37"/>
      <c r="C151" s="37"/>
      <c r="D151" s="37"/>
      <c r="E151" s="37"/>
      <c r="F151" s="47"/>
      <c r="G151" s="4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row>
    <row r="152" ht="12.0" customHeight="1">
      <c r="A152" s="37"/>
      <c r="B152" s="37"/>
      <c r="C152" s="37"/>
      <c r="D152" s="37"/>
      <c r="E152" s="37"/>
      <c r="F152" s="37"/>
      <c r="G152" s="39"/>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row>
    <row r="153" ht="12.0" customHeight="1">
      <c r="A153" s="37"/>
      <c r="B153" s="37"/>
      <c r="C153" s="37"/>
      <c r="D153" s="37"/>
      <c r="E153" s="37"/>
      <c r="F153" s="47"/>
      <c r="G153" s="46"/>
      <c r="H153" s="47"/>
      <c r="I153" s="47"/>
      <c r="J153" s="47"/>
      <c r="K153" s="47"/>
      <c r="L153" s="4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row>
    <row r="154" ht="12.0" customHeight="1">
      <c r="A154" s="37"/>
      <c r="B154" s="37"/>
      <c r="C154" s="37"/>
      <c r="D154" s="37"/>
      <c r="E154" s="37"/>
      <c r="F154" s="47"/>
      <c r="G154" s="46"/>
      <c r="H154" s="47"/>
      <c r="I154" s="47"/>
      <c r="J154" s="47"/>
      <c r="K154" s="47"/>
      <c r="L154" s="4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row>
    <row r="155" ht="12.0" customHeight="1">
      <c r="A155" s="37"/>
      <c r="B155" s="37"/>
      <c r="C155" s="37"/>
      <c r="D155" s="37"/>
      <c r="E155" s="37"/>
      <c r="F155" s="47"/>
      <c r="G155" s="46"/>
      <c r="H155" s="47"/>
      <c r="I155" s="47"/>
      <c r="J155" s="47"/>
      <c r="K155" s="47"/>
      <c r="L155" s="4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row>
    <row r="156" ht="12.0" customHeight="1">
      <c r="A156" s="37"/>
      <c r="B156" s="37"/>
      <c r="C156" s="37"/>
      <c r="D156" s="37"/>
      <c r="E156" s="37"/>
      <c r="F156" s="47"/>
      <c r="G156" s="46"/>
      <c r="H156" s="47"/>
      <c r="I156" s="47"/>
      <c r="J156" s="47"/>
      <c r="K156" s="47"/>
      <c r="L156" s="4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row>
    <row r="157" ht="12.0" customHeight="1">
      <c r="A157" s="37"/>
      <c r="B157" s="37"/>
      <c r="C157" s="37"/>
      <c r="D157" s="37"/>
      <c r="E157" s="37"/>
      <c r="F157" s="47"/>
      <c r="G157" s="46"/>
      <c r="H157" s="47"/>
      <c r="I157" s="47"/>
      <c r="J157" s="47"/>
      <c r="K157" s="47"/>
      <c r="L157" s="4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row>
    <row r="158" ht="12.0" customHeight="1">
      <c r="A158" s="37"/>
      <c r="B158" s="37"/>
      <c r="C158" s="37"/>
      <c r="D158" s="37"/>
      <c r="E158" s="37"/>
      <c r="F158" s="47"/>
      <c r="G158" s="46"/>
      <c r="H158" s="47"/>
      <c r="I158" s="47"/>
      <c r="J158" s="47"/>
      <c r="K158" s="47"/>
      <c r="L158" s="4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row>
    <row r="159" ht="12.0" customHeight="1">
      <c r="A159" s="37"/>
      <c r="B159" s="37"/>
      <c r="C159" s="37"/>
      <c r="D159" s="37"/>
      <c r="E159" s="37"/>
      <c r="F159" s="37"/>
      <c r="G159" s="39"/>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row>
    <row r="160" ht="12.0" customHeight="1">
      <c r="A160" s="37"/>
      <c r="B160" s="37"/>
      <c r="C160" s="37"/>
      <c r="D160" s="37"/>
      <c r="E160" s="37"/>
      <c r="F160" s="37"/>
      <c r="G160" s="39"/>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ht="12.0" customHeight="1">
      <c r="A161" s="37"/>
      <c r="B161" s="37"/>
      <c r="C161" s="37"/>
      <c r="D161" s="37"/>
      <c r="E161" s="37"/>
      <c r="F161" s="37"/>
      <c r="G161" s="39"/>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ht="12.0" customHeight="1">
      <c r="A162" s="37"/>
      <c r="B162" s="37"/>
      <c r="C162" s="37"/>
      <c r="D162" s="37"/>
      <c r="E162" s="37"/>
      <c r="F162" s="37"/>
      <c r="G162" s="39"/>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ht="12.0" customHeight="1">
      <c r="A163" s="37"/>
      <c r="B163" s="37"/>
      <c r="C163" s="37"/>
      <c r="D163" s="37"/>
      <c r="E163" s="37"/>
      <c r="F163" s="37"/>
      <c r="G163" s="39"/>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ht="12.0" customHeight="1">
      <c r="A164" s="37"/>
      <c r="B164" s="37"/>
      <c r="C164" s="37"/>
      <c r="D164" s="37"/>
      <c r="E164" s="37"/>
      <c r="F164" s="37"/>
      <c r="G164" s="39"/>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ht="12.0" customHeight="1">
      <c r="A165" s="37"/>
      <c r="B165" s="37"/>
      <c r="C165" s="37"/>
      <c r="D165" s="37"/>
      <c r="E165" s="37"/>
      <c r="F165" s="37"/>
      <c r="G165" s="39"/>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row>
    <row r="166" ht="12.0" customHeight="1">
      <c r="A166" s="37"/>
      <c r="B166" s="37"/>
      <c r="C166" s="37"/>
      <c r="D166" s="37"/>
      <c r="E166" s="37"/>
      <c r="F166" s="37"/>
      <c r="G166" s="39"/>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row>
    <row r="167" ht="12.0" customHeight="1">
      <c r="A167" s="37"/>
      <c r="B167" s="37"/>
      <c r="C167" s="37"/>
      <c r="D167" s="37"/>
      <c r="E167" s="37"/>
      <c r="F167" s="37"/>
      <c r="G167" s="39"/>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row>
    <row r="168" ht="12.0" customHeight="1">
      <c r="A168" s="37"/>
      <c r="B168" s="37"/>
      <c r="C168" s="37"/>
      <c r="D168" s="37"/>
      <c r="E168" s="37"/>
      <c r="F168" s="37"/>
      <c r="G168" s="39"/>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row>
    <row r="169" ht="12.0" customHeight="1">
      <c r="A169" s="37"/>
      <c r="B169" s="37"/>
      <c r="C169" s="37"/>
      <c r="D169" s="37"/>
      <c r="E169" s="37"/>
      <c r="F169" s="37"/>
      <c r="G169" s="39"/>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row>
    <row r="170" ht="12.0" customHeight="1">
      <c r="A170" s="37"/>
      <c r="B170" s="207"/>
      <c r="C170" s="37"/>
      <c r="D170" s="37"/>
      <c r="E170" s="37"/>
      <c r="F170" s="37"/>
      <c r="G170" s="39"/>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row>
    <row r="171" ht="12.0" customHeight="1">
      <c r="A171" s="37"/>
      <c r="B171" s="37"/>
      <c r="C171" s="37"/>
      <c r="D171" s="37"/>
      <c r="E171" s="37"/>
      <c r="F171" s="37"/>
      <c r="G171" s="39"/>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row>
    <row r="172" ht="12.0" customHeight="1">
      <c r="A172" s="37"/>
      <c r="B172" s="37"/>
      <c r="C172" s="37"/>
      <c r="D172" s="37"/>
      <c r="E172" s="37"/>
      <c r="F172" s="37"/>
      <c r="G172" s="39"/>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row>
    <row r="173" ht="12.0" customHeight="1">
      <c r="A173" s="37"/>
      <c r="B173" s="37"/>
      <c r="C173" s="37"/>
      <c r="D173" s="37"/>
      <c r="E173" s="37"/>
      <c r="F173" s="37"/>
      <c r="G173" s="39"/>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row>
    <row r="174" ht="12.0" customHeight="1">
      <c r="A174" s="37"/>
      <c r="B174" s="37"/>
      <c r="C174" s="37"/>
      <c r="D174" s="37"/>
      <c r="E174" s="37"/>
      <c r="F174" s="37"/>
      <c r="G174" s="39"/>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row>
    <row r="175" ht="12.0" customHeight="1">
      <c r="A175" s="37"/>
      <c r="B175" s="37"/>
      <c r="D175" s="37"/>
      <c r="E175" s="37"/>
      <c r="F175" s="37"/>
      <c r="G175" s="39"/>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row>
    <row r="176" ht="12.0" customHeight="1">
      <c r="A176" s="37"/>
      <c r="B176" s="37"/>
      <c r="C176" s="37"/>
      <c r="D176" s="37"/>
      <c r="E176" s="37"/>
      <c r="F176" s="37"/>
      <c r="G176" s="39"/>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row>
    <row r="177" ht="12.0" customHeight="1">
      <c r="A177" s="37"/>
      <c r="B177" s="37"/>
      <c r="C177" s="37"/>
      <c r="D177" s="37"/>
      <c r="E177" s="37"/>
      <c r="F177" s="37"/>
      <c r="G177" s="39"/>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row>
    <row r="178" ht="12.0" customHeight="1">
      <c r="A178" s="37"/>
      <c r="B178" s="37"/>
      <c r="C178" s="37"/>
      <c r="D178" s="37"/>
      <c r="E178" s="37"/>
      <c r="F178" s="37"/>
      <c r="G178" s="39"/>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row>
    <row r="179" ht="12.0" customHeight="1">
      <c r="A179" s="37"/>
      <c r="B179" s="37"/>
      <c r="C179" s="37"/>
      <c r="D179" s="37"/>
      <c r="E179" s="37"/>
      <c r="F179" s="37"/>
      <c r="G179" s="39"/>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row>
    <row r="180" ht="12.0" customHeight="1">
      <c r="A180" s="37"/>
      <c r="B180" s="37"/>
      <c r="C180" s="37"/>
      <c r="D180" s="37"/>
      <c r="E180" s="37"/>
      <c r="F180" s="37"/>
      <c r="G180" s="39"/>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row>
    <row r="181" ht="12.0" customHeight="1">
      <c r="A181" s="37"/>
      <c r="B181" s="37"/>
      <c r="C181" s="37"/>
      <c r="D181" s="37"/>
      <c r="E181" s="37"/>
      <c r="F181" s="37"/>
      <c r="G181" s="39"/>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row>
    <row r="182" ht="12.0" customHeight="1">
      <c r="A182" s="37"/>
      <c r="B182" s="37"/>
      <c r="C182" s="37"/>
      <c r="D182" s="37"/>
      <c r="E182" s="37"/>
      <c r="F182" s="37"/>
      <c r="G182" s="39"/>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ht="12.0" customHeight="1">
      <c r="A183" s="37"/>
      <c r="B183" s="37"/>
      <c r="C183" s="37"/>
      <c r="D183" s="37"/>
      <c r="E183" s="37"/>
      <c r="F183" s="37"/>
      <c r="G183" s="39"/>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row>
    <row r="184" ht="12.0" customHeight="1">
      <c r="A184" s="37"/>
      <c r="B184" s="37"/>
      <c r="C184" s="37"/>
      <c r="D184" s="37"/>
      <c r="E184" s="37"/>
      <c r="F184" s="37"/>
      <c r="G184" s="39"/>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row>
    <row r="185" ht="12.0" customHeight="1">
      <c r="A185" s="37"/>
      <c r="B185" s="37"/>
      <c r="C185" s="37"/>
      <c r="D185" s="37"/>
      <c r="E185" s="37"/>
      <c r="F185" s="37"/>
      <c r="G185" s="39"/>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row>
    <row r="186" ht="12.0" customHeight="1">
      <c r="A186" s="37"/>
      <c r="B186" s="37"/>
      <c r="C186" s="37"/>
      <c r="D186" s="37"/>
      <c r="E186" s="37"/>
      <c r="F186" s="37"/>
      <c r="G186" s="39"/>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row>
    <row r="187" ht="12.0" customHeight="1">
      <c r="A187" s="37"/>
      <c r="B187" s="37"/>
      <c r="C187" s="37"/>
      <c r="D187" s="37"/>
      <c r="E187" s="37"/>
      <c r="F187" s="37"/>
      <c r="G187" s="39"/>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ht="12.0" customHeight="1">
      <c r="A188" s="37"/>
      <c r="B188" s="37"/>
      <c r="C188" s="37"/>
      <c r="D188" s="37"/>
      <c r="E188" s="37"/>
      <c r="F188" s="37"/>
      <c r="G188" s="39"/>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row>
    <row r="189" ht="12.0" customHeight="1">
      <c r="A189" s="37"/>
      <c r="B189" s="37"/>
      <c r="C189" s="37"/>
      <c r="D189" s="37"/>
      <c r="E189" s="37"/>
      <c r="F189" s="37"/>
      <c r="G189" s="39"/>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row>
    <row r="190" ht="12.0" customHeight="1">
      <c r="A190" s="37"/>
      <c r="B190" s="37"/>
      <c r="C190" s="37"/>
      <c r="D190" s="37"/>
      <c r="E190" s="37"/>
      <c r="F190" s="37"/>
      <c r="G190" s="39"/>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row>
    <row r="191" ht="12.0" customHeight="1">
      <c r="A191" s="37"/>
      <c r="B191" s="37"/>
      <c r="C191" s="37"/>
      <c r="D191" s="37"/>
      <c r="E191" s="37"/>
      <c r="F191" s="37"/>
      <c r="G191" s="39"/>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row>
    <row r="192" ht="12.0" customHeight="1">
      <c r="A192" s="37"/>
      <c r="B192" s="37"/>
      <c r="C192" s="37"/>
      <c r="D192" s="37"/>
      <c r="E192" s="37"/>
      <c r="F192" s="37"/>
      <c r="G192" s="39"/>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row>
    <row r="193" ht="12.0" customHeight="1">
      <c r="A193" s="37"/>
      <c r="B193" s="37"/>
      <c r="C193" s="37"/>
      <c r="D193" s="37"/>
      <c r="E193" s="37"/>
      <c r="F193" s="37"/>
      <c r="G193" s="39"/>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row>
    <row r="194" ht="12.0" customHeight="1">
      <c r="A194" s="37"/>
      <c r="B194" s="37"/>
      <c r="C194" s="37"/>
      <c r="D194" s="37"/>
      <c r="E194" s="37"/>
      <c r="F194" s="37"/>
      <c r="G194" s="39"/>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ht="12.0" customHeight="1">
      <c r="A195" s="37"/>
      <c r="B195" s="37"/>
      <c r="C195" s="37"/>
      <c r="D195" s="37"/>
      <c r="E195" s="37"/>
      <c r="F195" s="37"/>
      <c r="G195" s="39"/>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row>
    <row r="196" ht="12.0" customHeight="1">
      <c r="A196" s="37"/>
      <c r="B196" s="37"/>
      <c r="C196" s="37"/>
      <c r="D196" s="37"/>
      <c r="E196" s="37"/>
      <c r="F196" s="37"/>
      <c r="G196" s="39"/>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row>
    <row r="197" ht="12.0" customHeight="1">
      <c r="A197" s="37"/>
      <c r="B197" s="37"/>
      <c r="C197" s="37"/>
      <c r="D197" s="37"/>
      <c r="E197" s="37"/>
      <c r="F197" s="37"/>
      <c r="G197" s="39"/>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row>
    <row r="198" ht="12.0" customHeight="1">
      <c r="A198" s="37"/>
      <c r="B198" s="37"/>
      <c r="C198" s="37"/>
      <c r="D198" s="37"/>
      <c r="E198" s="37"/>
      <c r="F198" s="37"/>
      <c r="G198" s="39"/>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row>
    <row r="199" ht="12.0" customHeight="1">
      <c r="A199" s="37"/>
      <c r="B199" s="37"/>
      <c r="C199" s="37"/>
      <c r="D199" s="37"/>
      <c r="E199" s="37"/>
      <c r="F199" s="37"/>
      <c r="G199" s="39"/>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row>
    <row r="200" ht="12.0" customHeight="1">
      <c r="A200" s="37"/>
      <c r="B200" s="37"/>
      <c r="C200" s="37"/>
      <c r="D200" s="37"/>
      <c r="E200" s="37"/>
      <c r="F200" s="37"/>
      <c r="G200" s="39"/>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row>
    <row r="201" ht="12.0" customHeight="1">
      <c r="A201" s="37"/>
      <c r="B201" s="37"/>
      <c r="C201" s="37"/>
      <c r="D201" s="37"/>
      <c r="E201" s="37"/>
      <c r="F201" s="37"/>
      <c r="G201" s="39"/>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row>
    <row r="202" ht="12.0" customHeight="1">
      <c r="A202" s="37"/>
      <c r="B202" s="37"/>
      <c r="C202" s="37"/>
      <c r="D202" s="37"/>
      <c r="E202" s="37"/>
      <c r="F202" s="37"/>
      <c r="G202" s="39"/>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row>
    <row r="203" ht="12.0" customHeight="1">
      <c r="A203" s="37"/>
      <c r="B203" s="37"/>
      <c r="C203" s="37"/>
      <c r="D203" s="37"/>
      <c r="E203" s="37"/>
      <c r="F203" s="37"/>
      <c r="G203" s="39"/>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row>
    <row r="204" ht="12.0" customHeight="1">
      <c r="A204" s="37"/>
      <c r="B204" s="37"/>
      <c r="C204" s="37"/>
      <c r="D204" s="37"/>
      <c r="E204" s="37"/>
      <c r="F204" s="37"/>
      <c r="G204" s="39"/>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row>
    <row r="205" ht="12.0" customHeight="1">
      <c r="A205" s="37"/>
      <c r="B205" s="37"/>
      <c r="C205" s="37"/>
      <c r="D205" s="37"/>
      <c r="E205" s="37"/>
      <c r="F205" s="37"/>
      <c r="G205" s="39"/>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row>
    <row r="206" ht="12.0" customHeight="1">
      <c r="A206" s="37"/>
      <c r="B206" s="37"/>
      <c r="C206" s="37"/>
      <c r="D206" s="37"/>
      <c r="E206" s="37"/>
      <c r="F206" s="37"/>
      <c r="G206" s="39"/>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row>
    <row r="207" ht="12.0" customHeight="1">
      <c r="A207" s="37"/>
      <c r="B207" s="37"/>
      <c r="C207" s="37"/>
      <c r="D207" s="37"/>
      <c r="E207" s="37"/>
      <c r="F207" s="37"/>
      <c r="G207" s="39"/>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row>
    <row r="208" ht="12.0" customHeight="1">
      <c r="A208" s="37"/>
      <c r="B208" s="37"/>
      <c r="C208" s="37"/>
      <c r="D208" s="37"/>
      <c r="E208" s="37"/>
      <c r="F208" s="37"/>
      <c r="G208" s="39"/>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row>
    <row r="209" ht="12.0" customHeight="1">
      <c r="A209" s="37"/>
      <c r="B209" s="37"/>
      <c r="C209" s="37"/>
      <c r="D209" s="37"/>
      <c r="E209" s="37"/>
      <c r="F209" s="37"/>
      <c r="G209" s="39"/>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ht="12.0" customHeight="1">
      <c r="A210" s="37"/>
      <c r="B210" s="37"/>
      <c r="C210" s="37"/>
      <c r="D210" s="37"/>
      <c r="E210" s="37"/>
      <c r="F210" s="37"/>
      <c r="G210" s="39"/>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row>
    <row r="211" ht="12.0" customHeight="1">
      <c r="A211" s="37"/>
      <c r="B211" s="37"/>
      <c r="C211" s="37"/>
      <c r="D211" s="37"/>
      <c r="E211" s="37"/>
      <c r="F211" s="37"/>
      <c r="G211" s="39"/>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row>
    <row r="212" ht="12.0" customHeight="1">
      <c r="A212" s="37"/>
      <c r="B212" s="37"/>
      <c r="C212" s="37"/>
      <c r="D212" s="37"/>
      <c r="E212" s="37"/>
      <c r="F212" s="37"/>
      <c r="G212" s="39"/>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row>
    <row r="213" ht="12.0" customHeight="1">
      <c r="A213" s="37"/>
      <c r="B213" s="37"/>
      <c r="C213" s="37"/>
      <c r="D213" s="37"/>
      <c r="E213" s="37"/>
      <c r="F213" s="37"/>
      <c r="G213" s="39"/>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row>
    <row r="214" ht="12.0" customHeight="1">
      <c r="A214" s="37"/>
      <c r="B214" s="37"/>
      <c r="C214" s="37"/>
      <c r="D214" s="37"/>
      <c r="E214" s="37"/>
      <c r="F214" s="37"/>
      <c r="G214" s="39"/>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ht="12.0" customHeight="1">
      <c r="G215" s="43"/>
    </row>
    <row r="216" ht="12.0" customHeight="1">
      <c r="G216" s="43"/>
    </row>
    <row r="217" ht="12.0" customHeight="1">
      <c r="G217" s="43"/>
    </row>
    <row r="218" ht="12.0" customHeight="1">
      <c r="G218" s="43"/>
    </row>
    <row r="219" ht="12.0" customHeight="1">
      <c r="G219" s="43"/>
    </row>
    <row r="220" ht="12.0" customHeight="1">
      <c r="G220" s="43"/>
    </row>
    <row r="221" ht="12.0" customHeight="1">
      <c r="G221" s="43"/>
    </row>
    <row r="222" ht="12.0" customHeight="1">
      <c r="G222" s="43"/>
    </row>
    <row r="223" ht="12.0" customHeight="1">
      <c r="G223" s="43"/>
    </row>
    <row r="224" ht="12.0" customHeight="1">
      <c r="G224" s="43"/>
    </row>
    <row r="225" ht="12.0" customHeight="1">
      <c r="G225" s="43"/>
    </row>
    <row r="226" ht="12.0" customHeight="1">
      <c r="G226" s="43"/>
    </row>
    <row r="227" ht="12.0" customHeight="1">
      <c r="G227" s="43"/>
    </row>
    <row r="228" ht="12.0" customHeight="1">
      <c r="G228" s="43"/>
    </row>
    <row r="229" ht="12.0" customHeight="1">
      <c r="G229" s="43"/>
    </row>
    <row r="230" ht="12.0" customHeight="1">
      <c r="G230" s="43"/>
    </row>
    <row r="231" ht="12.0" customHeight="1">
      <c r="G231" s="43"/>
    </row>
    <row r="232" ht="12.0" customHeight="1">
      <c r="G232" s="43"/>
    </row>
    <row r="233" ht="12.0" customHeight="1">
      <c r="G233" s="43"/>
    </row>
    <row r="234" ht="12.0" customHeight="1">
      <c r="G234" s="43"/>
    </row>
    <row r="235" ht="12.0" customHeight="1">
      <c r="G235" s="43"/>
    </row>
    <row r="236" ht="12.0" customHeight="1">
      <c r="G236" s="43"/>
    </row>
    <row r="237" ht="12.0" customHeight="1">
      <c r="G237" s="43"/>
    </row>
    <row r="238" ht="12.0" customHeight="1">
      <c r="G238" s="43"/>
    </row>
    <row r="239" ht="12.0" customHeight="1">
      <c r="G239" s="43"/>
    </row>
    <row r="240" ht="12.0" customHeight="1">
      <c r="G240" s="43"/>
    </row>
    <row r="241" ht="12.0" customHeight="1">
      <c r="G241" s="43"/>
    </row>
    <row r="242" ht="12.0" customHeight="1">
      <c r="G242" s="43"/>
    </row>
    <row r="243" ht="12.0" customHeight="1">
      <c r="G243" s="43"/>
    </row>
    <row r="244" ht="12.0" customHeight="1">
      <c r="G244" s="43"/>
    </row>
    <row r="245" ht="12.0" customHeight="1">
      <c r="G245" s="43"/>
    </row>
    <row r="246" ht="12.0" customHeight="1">
      <c r="G246" s="43"/>
    </row>
    <row r="247" ht="12.0" customHeight="1">
      <c r="G247" s="43"/>
    </row>
    <row r="248" ht="12.0" customHeight="1">
      <c r="G248" s="43"/>
    </row>
    <row r="249" ht="12.0" customHeight="1">
      <c r="G249" s="43"/>
    </row>
    <row r="250" ht="12.0" customHeight="1">
      <c r="G250" s="43"/>
    </row>
    <row r="251" ht="12.0" customHeight="1">
      <c r="G251" s="43"/>
    </row>
    <row r="252" ht="12.0" customHeight="1">
      <c r="G252" s="43"/>
    </row>
    <row r="253" ht="12.0" customHeight="1">
      <c r="G253" s="43"/>
    </row>
    <row r="254" ht="12.0" customHeight="1">
      <c r="G254" s="43"/>
    </row>
    <row r="255" ht="12.0" customHeight="1">
      <c r="G255" s="43"/>
    </row>
    <row r="256" ht="12.0" customHeight="1">
      <c r="G256" s="43"/>
    </row>
    <row r="257" ht="12.0" customHeight="1">
      <c r="G257" s="43"/>
    </row>
    <row r="258" ht="12.0" customHeight="1">
      <c r="G258" s="43"/>
    </row>
    <row r="259" ht="12.0" customHeight="1">
      <c r="G259" s="43"/>
    </row>
    <row r="260" ht="12.0" customHeight="1">
      <c r="G260" s="43"/>
    </row>
    <row r="261" ht="12.0" customHeight="1">
      <c r="G261" s="43"/>
    </row>
    <row r="262" ht="12.0" customHeight="1">
      <c r="G262" s="43"/>
    </row>
    <row r="263" ht="12.0" customHeight="1">
      <c r="G263" s="43"/>
    </row>
    <row r="264" ht="12.0" customHeight="1">
      <c r="G264" s="43"/>
    </row>
    <row r="265" ht="12.0" customHeight="1">
      <c r="G265" s="43"/>
    </row>
    <row r="266" ht="12.0" customHeight="1">
      <c r="G266" s="43"/>
    </row>
    <row r="267" ht="12.0" customHeight="1">
      <c r="G267" s="43"/>
    </row>
    <row r="268" ht="12.0" customHeight="1">
      <c r="G268" s="43"/>
    </row>
    <row r="269" ht="12.0" customHeight="1">
      <c r="G269" s="43"/>
    </row>
    <row r="270" ht="12.0" customHeight="1">
      <c r="G270" s="43"/>
    </row>
    <row r="271" ht="12.0" customHeight="1">
      <c r="G271" s="43"/>
    </row>
    <row r="272" ht="12.0" customHeight="1">
      <c r="G272" s="43"/>
    </row>
    <row r="273" ht="12.0" customHeight="1">
      <c r="G273" s="43"/>
    </row>
    <row r="274" ht="12.0" customHeight="1">
      <c r="G274" s="43"/>
    </row>
    <row r="275" ht="12.0" customHeight="1">
      <c r="G275" s="43"/>
    </row>
    <row r="276" ht="12.0" customHeight="1">
      <c r="G276" s="43"/>
    </row>
    <row r="277" ht="12.0" customHeight="1">
      <c r="G277" s="43"/>
    </row>
    <row r="278" ht="12.0" customHeight="1">
      <c r="G278" s="43"/>
    </row>
    <row r="279" ht="12.0" customHeight="1">
      <c r="G279" s="43"/>
    </row>
    <row r="280" ht="12.0" customHeight="1">
      <c r="G280" s="43"/>
    </row>
    <row r="281" ht="12.0" customHeight="1">
      <c r="G281" s="43"/>
    </row>
    <row r="282" ht="12.0" customHeight="1">
      <c r="G282" s="43"/>
    </row>
    <row r="283" ht="12.0" customHeight="1">
      <c r="G283" s="43"/>
    </row>
    <row r="284" ht="12.0" customHeight="1">
      <c r="G284" s="43"/>
    </row>
    <row r="285" ht="12.0" customHeight="1">
      <c r="G285" s="43"/>
    </row>
    <row r="286" ht="12.0" customHeight="1">
      <c r="G286" s="43"/>
    </row>
    <row r="287" ht="12.0" customHeight="1">
      <c r="G287" s="43"/>
    </row>
    <row r="288" ht="12.0" customHeight="1">
      <c r="G288" s="43"/>
    </row>
    <row r="289" ht="12.0" customHeight="1">
      <c r="G289" s="43"/>
    </row>
    <row r="290" ht="12.0" customHeight="1">
      <c r="G290" s="43"/>
    </row>
    <row r="291" ht="12.0" customHeight="1">
      <c r="G291" s="43"/>
    </row>
    <row r="292" ht="12.0" customHeight="1">
      <c r="G292" s="43"/>
    </row>
    <row r="293" ht="12.0" customHeight="1">
      <c r="G293" s="43"/>
    </row>
    <row r="294" ht="12.0" customHeight="1">
      <c r="G294" s="43"/>
    </row>
    <row r="295" ht="12.0" customHeight="1">
      <c r="G295" s="43"/>
    </row>
    <row r="296" ht="12.0" customHeight="1">
      <c r="G296" s="43"/>
    </row>
    <row r="297" ht="12.0" customHeight="1">
      <c r="G297" s="43"/>
    </row>
    <row r="298" ht="12.0" customHeight="1">
      <c r="G298" s="43"/>
    </row>
    <row r="299" ht="12.0" customHeight="1">
      <c r="G299" s="43"/>
    </row>
    <row r="300" ht="12.0" customHeight="1">
      <c r="G300" s="43"/>
    </row>
    <row r="301" ht="12.0" customHeight="1">
      <c r="G301" s="43"/>
    </row>
    <row r="302" ht="12.0" customHeight="1">
      <c r="G302" s="43"/>
    </row>
    <row r="303" ht="12.0" customHeight="1">
      <c r="G303" s="43"/>
    </row>
    <row r="304" ht="12.0" customHeight="1">
      <c r="G304" s="43"/>
    </row>
    <row r="305" ht="12.0" customHeight="1">
      <c r="G305" s="43"/>
    </row>
    <row r="306" ht="12.0" customHeight="1">
      <c r="G306" s="43"/>
    </row>
    <row r="307" ht="12.0" customHeight="1">
      <c r="G307" s="43"/>
    </row>
    <row r="308" ht="12.0" customHeight="1">
      <c r="G308" s="43"/>
    </row>
    <row r="309" ht="12.0" customHeight="1">
      <c r="G309" s="43"/>
    </row>
    <row r="310" ht="12.0" customHeight="1">
      <c r="G310" s="43"/>
    </row>
    <row r="311" ht="12.0" customHeight="1">
      <c r="G311" s="43"/>
    </row>
    <row r="312" ht="12.0" customHeight="1">
      <c r="G312" s="43"/>
    </row>
    <row r="313" ht="12.0" customHeight="1">
      <c r="G313" s="43"/>
    </row>
    <row r="314" ht="12.0" customHeight="1">
      <c r="G314" s="43"/>
    </row>
    <row r="315" ht="12.0" customHeight="1">
      <c r="G315" s="43"/>
    </row>
    <row r="316" ht="12.0" customHeight="1">
      <c r="G316" s="43"/>
    </row>
    <row r="317" ht="12.0" customHeight="1">
      <c r="G317" s="43"/>
    </row>
    <row r="318" ht="12.0" customHeight="1">
      <c r="G318" s="43"/>
    </row>
    <row r="319" ht="12.0" customHeight="1">
      <c r="G319" s="43"/>
    </row>
    <row r="320" ht="12.0" customHeight="1">
      <c r="G320" s="43"/>
    </row>
    <row r="321" ht="12.0" customHeight="1">
      <c r="G321" s="43"/>
    </row>
    <row r="322" ht="12.0" customHeight="1">
      <c r="G322" s="43"/>
    </row>
    <row r="323" ht="12.0" customHeight="1">
      <c r="G323" s="43"/>
    </row>
    <row r="324" ht="12.0" customHeight="1">
      <c r="G324" s="43"/>
    </row>
    <row r="325" ht="12.0" customHeight="1">
      <c r="G325" s="43"/>
    </row>
    <row r="326" ht="12.0" customHeight="1">
      <c r="G326" s="43"/>
    </row>
    <row r="327" ht="12.0" customHeight="1">
      <c r="G327" s="43"/>
    </row>
    <row r="328" ht="12.0" customHeight="1">
      <c r="G328" s="43"/>
    </row>
    <row r="329" ht="12.0" customHeight="1">
      <c r="G329" s="43"/>
    </row>
    <row r="330" ht="12.0" customHeight="1">
      <c r="G330" s="43"/>
    </row>
    <row r="331" ht="12.0" customHeight="1">
      <c r="G331" s="43"/>
    </row>
    <row r="332" ht="12.0" customHeight="1">
      <c r="G332" s="43"/>
    </row>
    <row r="333" ht="12.0" customHeight="1">
      <c r="G333" s="43"/>
    </row>
    <row r="334" ht="12.0" customHeight="1">
      <c r="G334" s="43"/>
    </row>
    <row r="335" ht="12.0" customHeight="1">
      <c r="G335" s="43"/>
    </row>
    <row r="336" ht="12.0" customHeight="1">
      <c r="G336" s="43"/>
    </row>
    <row r="337" ht="12.0" customHeight="1">
      <c r="G337" s="43"/>
    </row>
    <row r="338" ht="12.0" customHeight="1">
      <c r="G338" s="43"/>
    </row>
    <row r="339" ht="12.0" customHeight="1">
      <c r="G339" s="43"/>
    </row>
    <row r="340" ht="12.0" customHeight="1">
      <c r="G340" s="43"/>
    </row>
    <row r="341" ht="12.0" customHeight="1">
      <c r="G341" s="43"/>
    </row>
    <row r="342" ht="12.0" customHeight="1">
      <c r="G342" s="43"/>
    </row>
    <row r="343" ht="12.0" customHeight="1">
      <c r="G343" s="43"/>
    </row>
    <row r="344" ht="12.0" customHeight="1">
      <c r="G344" s="43"/>
    </row>
    <row r="345" ht="12.0" customHeight="1">
      <c r="G345" s="43"/>
    </row>
    <row r="346" ht="12.0" customHeight="1">
      <c r="G346" s="43"/>
    </row>
    <row r="347" ht="12.0" customHeight="1">
      <c r="G347" s="43"/>
    </row>
    <row r="348" ht="12.0" customHeight="1">
      <c r="G348" s="43"/>
    </row>
    <row r="349" ht="12.0" customHeight="1">
      <c r="G349" s="43"/>
    </row>
    <row r="350" ht="12.0" customHeight="1">
      <c r="G350" s="43"/>
    </row>
    <row r="351" ht="12.0" customHeight="1">
      <c r="G351" s="43"/>
    </row>
    <row r="352" ht="12.0" customHeight="1">
      <c r="G352" s="43"/>
    </row>
    <row r="353" ht="12.0" customHeight="1">
      <c r="G353" s="43"/>
    </row>
    <row r="354" ht="12.0" customHeight="1">
      <c r="G354" s="43"/>
    </row>
    <row r="355" ht="12.0" customHeight="1">
      <c r="G355" s="43"/>
    </row>
    <row r="356" ht="12.0" customHeight="1">
      <c r="G356" s="43"/>
    </row>
    <row r="357" ht="12.0" customHeight="1">
      <c r="G357" s="43"/>
    </row>
    <row r="358" ht="12.0" customHeight="1">
      <c r="G358" s="43"/>
    </row>
    <row r="359" ht="12.0" customHeight="1">
      <c r="G359" s="43"/>
    </row>
    <row r="360" ht="12.0" customHeight="1">
      <c r="G360" s="43"/>
    </row>
    <row r="361" ht="12.0" customHeight="1">
      <c r="G361" s="43"/>
    </row>
    <row r="362" ht="12.0" customHeight="1">
      <c r="G362" s="43"/>
    </row>
    <row r="363" ht="12.0" customHeight="1">
      <c r="G363" s="43"/>
    </row>
    <row r="364" ht="12.0" customHeight="1">
      <c r="G364" s="43"/>
    </row>
    <row r="365" ht="12.0" customHeight="1">
      <c r="G365" s="43"/>
    </row>
    <row r="366" ht="12.0" customHeight="1">
      <c r="G366" s="43"/>
    </row>
    <row r="367" ht="12.0" customHeight="1">
      <c r="G367" s="43"/>
    </row>
    <row r="368" ht="12.0" customHeight="1">
      <c r="G368" s="43"/>
    </row>
    <row r="369" ht="12.0" customHeight="1">
      <c r="G369" s="43"/>
    </row>
    <row r="370" ht="12.0" customHeight="1">
      <c r="G370" s="43"/>
    </row>
    <row r="371" ht="12.0" customHeight="1">
      <c r="G371" s="43"/>
    </row>
    <row r="372" ht="12.0" customHeight="1">
      <c r="G372" s="43"/>
    </row>
    <row r="373" ht="12.0" customHeight="1">
      <c r="G373" s="43"/>
    </row>
    <row r="374" ht="12.0" customHeight="1">
      <c r="G374" s="43"/>
    </row>
    <row r="375" ht="12.0" customHeight="1">
      <c r="G375" s="43"/>
    </row>
    <row r="376" ht="12.0" customHeight="1">
      <c r="G376" s="43"/>
    </row>
    <row r="377" ht="12.0" customHeight="1">
      <c r="G377" s="43"/>
    </row>
    <row r="378" ht="12.0" customHeight="1">
      <c r="G378" s="43"/>
    </row>
    <row r="379" ht="12.0" customHeight="1">
      <c r="G379" s="43"/>
    </row>
    <row r="380" ht="12.0" customHeight="1">
      <c r="G380" s="43"/>
    </row>
    <row r="381" ht="12.0" customHeight="1">
      <c r="G381" s="43"/>
    </row>
    <row r="382" ht="12.0" customHeight="1">
      <c r="G382" s="43"/>
    </row>
    <row r="383" ht="12.0" customHeight="1">
      <c r="G383" s="43"/>
    </row>
    <row r="384" ht="12.0" customHeight="1">
      <c r="G384" s="43"/>
    </row>
    <row r="385" ht="12.0" customHeight="1">
      <c r="G385" s="43"/>
    </row>
    <row r="386" ht="12.0" customHeight="1">
      <c r="G386" s="43"/>
    </row>
    <row r="387" ht="12.0" customHeight="1">
      <c r="G387" s="43"/>
    </row>
    <row r="388" ht="12.0" customHeight="1">
      <c r="G388" s="43"/>
    </row>
    <row r="389" ht="12.0" customHeight="1">
      <c r="G389" s="43"/>
    </row>
    <row r="390" ht="12.0" customHeight="1">
      <c r="G390" s="43"/>
    </row>
    <row r="391" ht="12.0" customHeight="1">
      <c r="G391" s="43"/>
    </row>
    <row r="392" ht="12.0" customHeight="1">
      <c r="G392" s="43"/>
    </row>
    <row r="393" ht="12.0" customHeight="1">
      <c r="G393" s="43"/>
    </row>
    <row r="394" ht="12.0" customHeight="1">
      <c r="G394" s="43"/>
    </row>
    <row r="395" ht="12.0" customHeight="1">
      <c r="G395" s="43"/>
    </row>
    <row r="396" ht="12.0" customHeight="1">
      <c r="G396" s="43"/>
    </row>
    <row r="397" ht="12.0" customHeight="1">
      <c r="G397" s="43"/>
    </row>
    <row r="398" ht="12.0" customHeight="1">
      <c r="G398" s="43"/>
    </row>
    <row r="399" ht="12.0" customHeight="1">
      <c r="G399" s="43"/>
    </row>
    <row r="400" ht="12.0" customHeight="1">
      <c r="G400" s="43"/>
    </row>
    <row r="401" ht="12.0" customHeight="1">
      <c r="G401" s="43"/>
    </row>
    <row r="402" ht="12.0" customHeight="1">
      <c r="G402" s="43"/>
    </row>
    <row r="403" ht="12.0" customHeight="1">
      <c r="G403" s="43"/>
    </row>
    <row r="404" ht="12.0" customHeight="1">
      <c r="G404" s="43"/>
    </row>
    <row r="405" ht="12.0" customHeight="1">
      <c r="G405" s="43"/>
    </row>
    <row r="406" ht="12.0" customHeight="1">
      <c r="G406" s="43"/>
    </row>
    <row r="407" ht="12.0" customHeight="1">
      <c r="G407" s="43"/>
    </row>
    <row r="408" ht="12.0" customHeight="1">
      <c r="G408" s="43"/>
    </row>
    <row r="409" ht="12.0" customHeight="1">
      <c r="G409" s="43"/>
    </row>
    <row r="410" ht="12.0" customHeight="1">
      <c r="G410" s="43"/>
    </row>
    <row r="411" ht="12.0" customHeight="1">
      <c r="G411" s="43"/>
    </row>
    <row r="412" ht="12.0" customHeight="1">
      <c r="G412" s="43"/>
    </row>
    <row r="413" ht="12.0" customHeight="1">
      <c r="G413" s="43"/>
    </row>
    <row r="414" ht="12.0" customHeight="1">
      <c r="G414" s="43"/>
    </row>
    <row r="415" ht="12.0" customHeight="1">
      <c r="G415" s="43"/>
    </row>
    <row r="416" ht="12.0" customHeight="1">
      <c r="G416" s="43"/>
    </row>
    <row r="417" ht="12.0" customHeight="1">
      <c r="G417" s="43"/>
    </row>
    <row r="418" ht="12.0" customHeight="1">
      <c r="G418" s="43"/>
    </row>
    <row r="419" ht="12.0" customHeight="1">
      <c r="G419" s="43"/>
    </row>
    <row r="420" ht="12.0" customHeight="1">
      <c r="G420" s="43"/>
    </row>
    <row r="421" ht="12.0" customHeight="1">
      <c r="G421" s="43"/>
    </row>
    <row r="422" ht="12.0" customHeight="1">
      <c r="G422" s="43"/>
    </row>
    <row r="423" ht="12.0" customHeight="1">
      <c r="G423" s="43"/>
    </row>
    <row r="424" ht="12.0" customHeight="1">
      <c r="G424" s="43"/>
    </row>
    <row r="425" ht="12.0" customHeight="1">
      <c r="G425" s="43"/>
    </row>
    <row r="426" ht="12.0" customHeight="1">
      <c r="G426" s="43"/>
    </row>
    <row r="427" ht="12.0" customHeight="1">
      <c r="G427" s="43"/>
    </row>
    <row r="428" ht="12.0" customHeight="1">
      <c r="G428" s="43"/>
    </row>
    <row r="429" ht="12.0" customHeight="1">
      <c r="G429" s="43"/>
    </row>
    <row r="430" ht="12.0" customHeight="1">
      <c r="G430" s="43"/>
    </row>
    <row r="431" ht="12.0" customHeight="1">
      <c r="G431" s="43"/>
    </row>
    <row r="432" ht="12.0" customHeight="1">
      <c r="G432" s="43"/>
    </row>
    <row r="433" ht="12.0" customHeight="1">
      <c r="G433" s="43"/>
    </row>
    <row r="434" ht="12.0" customHeight="1">
      <c r="G434" s="43"/>
    </row>
    <row r="435" ht="12.0" customHeight="1">
      <c r="G435" s="43"/>
    </row>
    <row r="436" ht="12.0" customHeight="1">
      <c r="G436" s="43"/>
    </row>
    <row r="437" ht="12.0" customHeight="1">
      <c r="G437" s="43"/>
    </row>
    <row r="438" ht="12.0" customHeight="1">
      <c r="G438" s="43"/>
    </row>
    <row r="439" ht="12.0" customHeight="1">
      <c r="G439" s="43"/>
    </row>
    <row r="440" ht="12.0" customHeight="1">
      <c r="G440" s="43"/>
    </row>
    <row r="441" ht="12.0" customHeight="1">
      <c r="G441" s="43"/>
    </row>
    <row r="442" ht="12.0" customHeight="1">
      <c r="G442" s="43"/>
    </row>
    <row r="443" ht="12.0" customHeight="1">
      <c r="G443" s="43"/>
    </row>
    <row r="444" ht="12.0" customHeight="1">
      <c r="G444" s="43"/>
    </row>
    <row r="445" ht="12.0" customHeight="1">
      <c r="G445" s="43"/>
    </row>
    <row r="446" ht="12.0" customHeight="1">
      <c r="G446" s="43"/>
    </row>
    <row r="447" ht="12.0" customHeight="1">
      <c r="G447" s="43"/>
    </row>
    <row r="448" ht="12.0" customHeight="1">
      <c r="G448" s="43"/>
    </row>
    <row r="449" ht="12.0" customHeight="1">
      <c r="G449" s="43"/>
    </row>
    <row r="450" ht="12.0" customHeight="1">
      <c r="G450" s="43"/>
    </row>
    <row r="451" ht="12.0" customHeight="1">
      <c r="G451" s="43"/>
    </row>
    <row r="452" ht="12.0" customHeight="1">
      <c r="G452" s="43"/>
    </row>
    <row r="453" ht="12.0" customHeight="1">
      <c r="G453" s="43"/>
    </row>
    <row r="454" ht="12.0" customHeight="1">
      <c r="G454" s="43"/>
    </row>
    <row r="455" ht="12.0" customHeight="1">
      <c r="G455" s="43"/>
    </row>
    <row r="456" ht="12.0" customHeight="1">
      <c r="G456" s="43"/>
    </row>
    <row r="457" ht="12.0" customHeight="1">
      <c r="G457" s="43"/>
    </row>
    <row r="458" ht="12.0" customHeight="1">
      <c r="G458" s="43"/>
    </row>
    <row r="459" ht="12.0" customHeight="1">
      <c r="G459" s="43"/>
    </row>
    <row r="460" ht="12.0" customHeight="1">
      <c r="G460" s="43"/>
    </row>
    <row r="461" ht="12.0" customHeight="1">
      <c r="G461" s="43"/>
    </row>
    <row r="462" ht="12.0" customHeight="1">
      <c r="G462" s="43"/>
    </row>
    <row r="463" ht="12.0" customHeight="1">
      <c r="G463" s="43"/>
    </row>
    <row r="464" ht="12.0" customHeight="1">
      <c r="G464" s="43"/>
    </row>
    <row r="465" ht="12.0" customHeight="1">
      <c r="G465" s="43"/>
    </row>
    <row r="466" ht="12.0" customHeight="1">
      <c r="G466" s="43"/>
    </row>
    <row r="467" ht="12.0" customHeight="1">
      <c r="G467" s="43"/>
    </row>
    <row r="468" ht="12.0" customHeight="1">
      <c r="G468" s="43"/>
    </row>
    <row r="469" ht="12.0" customHeight="1">
      <c r="G469" s="43"/>
    </row>
    <row r="470" ht="12.0" customHeight="1">
      <c r="G470" s="43"/>
    </row>
    <row r="471" ht="12.0" customHeight="1">
      <c r="G471" s="43"/>
    </row>
    <row r="472" ht="12.0" customHeight="1">
      <c r="G472" s="43"/>
    </row>
    <row r="473" ht="12.0" customHeight="1">
      <c r="G473" s="43"/>
    </row>
    <row r="474" ht="12.0" customHeight="1">
      <c r="G474" s="43"/>
    </row>
    <row r="475" ht="12.0" customHeight="1">
      <c r="G475" s="43"/>
    </row>
    <row r="476" ht="12.0" customHeight="1">
      <c r="G476" s="43"/>
    </row>
    <row r="477" ht="12.0" customHeight="1">
      <c r="G477" s="43"/>
    </row>
    <row r="478" ht="12.0" customHeight="1">
      <c r="G478" s="43"/>
    </row>
    <row r="479" ht="12.0" customHeight="1">
      <c r="G479" s="43"/>
    </row>
    <row r="480" ht="12.0" customHeight="1">
      <c r="G480" s="43"/>
    </row>
    <row r="481" ht="12.0" customHeight="1">
      <c r="G481" s="43"/>
    </row>
    <row r="482" ht="12.0" customHeight="1">
      <c r="G482" s="43"/>
    </row>
    <row r="483" ht="12.0" customHeight="1">
      <c r="G483" s="43"/>
    </row>
    <row r="484" ht="12.0" customHeight="1">
      <c r="G484" s="43"/>
    </row>
    <row r="485" ht="12.0" customHeight="1">
      <c r="G485" s="43"/>
    </row>
    <row r="486" ht="12.0" customHeight="1">
      <c r="G486" s="43"/>
    </row>
    <row r="487" ht="12.0" customHeight="1">
      <c r="G487" s="43"/>
    </row>
    <row r="488" ht="12.0" customHeight="1">
      <c r="G488" s="43"/>
    </row>
    <row r="489" ht="12.0" customHeight="1">
      <c r="G489" s="43"/>
    </row>
    <row r="490" ht="12.0" customHeight="1">
      <c r="G490" s="43"/>
    </row>
    <row r="491" ht="12.0" customHeight="1">
      <c r="G491" s="43"/>
    </row>
    <row r="492" ht="12.0" customHeight="1">
      <c r="G492" s="43"/>
    </row>
    <row r="493" ht="12.0" customHeight="1">
      <c r="G493" s="43"/>
    </row>
    <row r="494" ht="12.0" customHeight="1">
      <c r="G494" s="43"/>
    </row>
    <row r="495" ht="12.0" customHeight="1">
      <c r="G495" s="43"/>
    </row>
    <row r="496" ht="12.0" customHeight="1">
      <c r="G496" s="43"/>
    </row>
    <row r="497" ht="12.0" customHeight="1">
      <c r="G497" s="43"/>
    </row>
    <row r="498" ht="12.0" customHeight="1">
      <c r="G498" s="43"/>
    </row>
    <row r="499" ht="12.0" customHeight="1">
      <c r="G499" s="43"/>
    </row>
    <row r="500" ht="12.0" customHeight="1">
      <c r="G500" s="43"/>
    </row>
    <row r="501" ht="12.0" customHeight="1">
      <c r="G501" s="43"/>
    </row>
    <row r="502" ht="12.0" customHeight="1">
      <c r="G502" s="43"/>
    </row>
    <row r="503" ht="12.0" customHeight="1">
      <c r="G503" s="43"/>
    </row>
    <row r="504" ht="12.0" customHeight="1">
      <c r="G504" s="43"/>
    </row>
    <row r="505" ht="12.0" customHeight="1">
      <c r="G505" s="43"/>
    </row>
    <row r="506" ht="12.0" customHeight="1">
      <c r="G506" s="43"/>
    </row>
    <row r="507" ht="12.0" customHeight="1">
      <c r="G507" s="43"/>
    </row>
    <row r="508" ht="12.0" customHeight="1">
      <c r="G508" s="43"/>
    </row>
    <row r="509" ht="12.0" customHeight="1">
      <c r="G509" s="43"/>
    </row>
    <row r="510" ht="12.0" customHeight="1">
      <c r="G510" s="43"/>
    </row>
    <row r="511" ht="12.0" customHeight="1">
      <c r="G511" s="43"/>
    </row>
    <row r="512" ht="12.0" customHeight="1">
      <c r="G512" s="43"/>
    </row>
    <row r="513" ht="12.0" customHeight="1">
      <c r="G513" s="43"/>
    </row>
    <row r="514" ht="12.0" customHeight="1">
      <c r="G514" s="43"/>
    </row>
    <row r="515" ht="12.0" customHeight="1">
      <c r="G515" s="43"/>
    </row>
    <row r="516" ht="12.0" customHeight="1">
      <c r="G516" s="43"/>
    </row>
    <row r="517" ht="12.0" customHeight="1">
      <c r="G517" s="43"/>
    </row>
    <row r="518" ht="12.0" customHeight="1">
      <c r="G518" s="43"/>
    </row>
    <row r="519" ht="12.0" customHeight="1">
      <c r="G519" s="43"/>
    </row>
    <row r="520" ht="12.0" customHeight="1">
      <c r="G520" s="43"/>
    </row>
    <row r="521" ht="12.0" customHeight="1">
      <c r="G521" s="43"/>
    </row>
    <row r="522" ht="12.0" customHeight="1">
      <c r="G522" s="43"/>
    </row>
    <row r="523" ht="12.0" customHeight="1">
      <c r="G523" s="43"/>
    </row>
    <row r="524" ht="12.0" customHeight="1">
      <c r="G524" s="43"/>
    </row>
    <row r="525" ht="12.0" customHeight="1">
      <c r="G525" s="43"/>
    </row>
    <row r="526" ht="12.0" customHeight="1">
      <c r="G526" s="43"/>
    </row>
    <row r="527" ht="12.0" customHeight="1">
      <c r="G527" s="43"/>
    </row>
    <row r="528" ht="12.0" customHeight="1">
      <c r="G528" s="43"/>
    </row>
    <row r="529" ht="12.0" customHeight="1">
      <c r="G529" s="43"/>
    </row>
    <row r="530" ht="12.0" customHeight="1">
      <c r="G530" s="43"/>
    </row>
    <row r="531" ht="12.0" customHeight="1">
      <c r="G531" s="43"/>
    </row>
    <row r="532" ht="12.0" customHeight="1">
      <c r="G532" s="43"/>
    </row>
    <row r="533" ht="12.0" customHeight="1">
      <c r="G533" s="43"/>
    </row>
    <row r="534" ht="12.0" customHeight="1">
      <c r="G534" s="43"/>
    </row>
    <row r="535" ht="12.0" customHeight="1">
      <c r="G535" s="43"/>
    </row>
    <row r="536" ht="12.0" customHeight="1">
      <c r="G536" s="43"/>
    </row>
    <row r="537" ht="12.0" customHeight="1">
      <c r="G537" s="43"/>
    </row>
    <row r="538" ht="12.0" customHeight="1">
      <c r="G538" s="43"/>
    </row>
    <row r="539" ht="12.0" customHeight="1">
      <c r="G539" s="43"/>
    </row>
    <row r="540" ht="12.0" customHeight="1">
      <c r="G540" s="43"/>
    </row>
    <row r="541" ht="12.0" customHeight="1">
      <c r="G541" s="43"/>
    </row>
    <row r="542" ht="12.0" customHeight="1">
      <c r="G542" s="43"/>
    </row>
    <row r="543" ht="12.0" customHeight="1">
      <c r="G543" s="43"/>
    </row>
    <row r="544" ht="12.0" customHeight="1">
      <c r="G544" s="43"/>
    </row>
    <row r="545" ht="12.0" customHeight="1">
      <c r="G545" s="43"/>
    </row>
    <row r="546" ht="12.0" customHeight="1">
      <c r="G546" s="43"/>
    </row>
    <row r="547" ht="12.0" customHeight="1">
      <c r="G547" s="43"/>
    </row>
    <row r="548" ht="12.0" customHeight="1">
      <c r="G548" s="43"/>
    </row>
    <row r="549" ht="12.0" customHeight="1">
      <c r="G549" s="43"/>
    </row>
    <row r="550" ht="12.0" customHeight="1">
      <c r="G550" s="43"/>
    </row>
    <row r="551" ht="12.0" customHeight="1">
      <c r="G551" s="43"/>
    </row>
    <row r="552" ht="12.0" customHeight="1">
      <c r="G552" s="43"/>
    </row>
    <row r="553" ht="12.0" customHeight="1">
      <c r="G553" s="43"/>
    </row>
    <row r="554" ht="12.0" customHeight="1">
      <c r="G554" s="43"/>
    </row>
    <row r="555" ht="12.0" customHeight="1">
      <c r="G555" s="43"/>
    </row>
    <row r="556" ht="12.0" customHeight="1">
      <c r="G556" s="43"/>
    </row>
    <row r="557" ht="12.0" customHeight="1">
      <c r="G557" s="43"/>
    </row>
    <row r="558" ht="12.0" customHeight="1">
      <c r="G558" s="43"/>
    </row>
    <row r="559" ht="12.0" customHeight="1">
      <c r="G559" s="43"/>
    </row>
    <row r="560" ht="12.0" customHeight="1">
      <c r="G560" s="43"/>
    </row>
    <row r="561" ht="12.0" customHeight="1">
      <c r="G561" s="43"/>
    </row>
    <row r="562" ht="12.0" customHeight="1">
      <c r="G562" s="43"/>
    </row>
    <row r="563" ht="12.0" customHeight="1">
      <c r="G563" s="43"/>
    </row>
    <row r="564" ht="12.0" customHeight="1">
      <c r="G564" s="43"/>
    </row>
    <row r="565" ht="12.0" customHeight="1">
      <c r="G565" s="43"/>
    </row>
    <row r="566" ht="12.0" customHeight="1">
      <c r="G566" s="43"/>
    </row>
    <row r="567" ht="12.0" customHeight="1">
      <c r="G567" s="43"/>
    </row>
    <row r="568" ht="12.0" customHeight="1">
      <c r="G568" s="43"/>
    </row>
    <row r="569" ht="12.0" customHeight="1">
      <c r="G569" s="43"/>
    </row>
    <row r="570" ht="12.0" customHeight="1">
      <c r="G570" s="43"/>
    </row>
    <row r="571" ht="12.0" customHeight="1">
      <c r="G571" s="43"/>
    </row>
    <row r="572" ht="12.0" customHeight="1">
      <c r="G572" s="43"/>
    </row>
    <row r="573" ht="12.0" customHeight="1">
      <c r="G573" s="43"/>
    </row>
    <row r="574" ht="12.0" customHeight="1">
      <c r="G574" s="43"/>
    </row>
    <row r="575" ht="12.0" customHeight="1">
      <c r="G575" s="43"/>
    </row>
    <row r="576" ht="12.0" customHeight="1">
      <c r="G576" s="43"/>
    </row>
    <row r="577" ht="12.0" customHeight="1">
      <c r="G577" s="43"/>
    </row>
    <row r="578" ht="12.0" customHeight="1">
      <c r="G578" s="43"/>
    </row>
    <row r="579" ht="12.0" customHeight="1">
      <c r="G579" s="43"/>
    </row>
    <row r="580" ht="12.0" customHeight="1">
      <c r="G580" s="43"/>
    </row>
    <row r="581" ht="12.0" customHeight="1">
      <c r="G581" s="43"/>
    </row>
    <row r="582" ht="12.0" customHeight="1">
      <c r="G582" s="43"/>
    </row>
    <row r="583" ht="12.0" customHeight="1">
      <c r="G583" s="43"/>
    </row>
    <row r="584" ht="12.0" customHeight="1">
      <c r="G584" s="43"/>
    </row>
    <row r="585" ht="12.0" customHeight="1">
      <c r="G585" s="43"/>
    </row>
    <row r="586" ht="12.0" customHeight="1">
      <c r="G586" s="43"/>
    </row>
    <row r="587" ht="12.0" customHeight="1">
      <c r="G587" s="43"/>
    </row>
    <row r="588" ht="12.0" customHeight="1">
      <c r="G588" s="43"/>
    </row>
    <row r="589" ht="12.0" customHeight="1">
      <c r="G589" s="43"/>
    </row>
    <row r="590" ht="12.0" customHeight="1">
      <c r="G590" s="43"/>
    </row>
    <row r="591" ht="12.0" customHeight="1">
      <c r="G591" s="43"/>
    </row>
    <row r="592" ht="12.0" customHeight="1">
      <c r="G592" s="43"/>
    </row>
    <row r="593" ht="12.0" customHeight="1">
      <c r="G593" s="43"/>
    </row>
    <row r="594" ht="12.0" customHeight="1">
      <c r="G594" s="43"/>
    </row>
    <row r="595" ht="12.0" customHeight="1">
      <c r="G595" s="43"/>
    </row>
    <row r="596" ht="12.0" customHeight="1">
      <c r="G596" s="43"/>
    </row>
    <row r="597" ht="12.0" customHeight="1">
      <c r="G597" s="43"/>
    </row>
    <row r="598" ht="12.0" customHeight="1">
      <c r="G598" s="43"/>
    </row>
    <row r="599" ht="12.0" customHeight="1">
      <c r="G599" s="43"/>
    </row>
    <row r="600" ht="12.0" customHeight="1">
      <c r="G600" s="43"/>
    </row>
    <row r="601" ht="12.0" customHeight="1">
      <c r="G601" s="43"/>
    </row>
    <row r="602" ht="12.0" customHeight="1">
      <c r="G602" s="43"/>
    </row>
    <row r="603" ht="12.0" customHeight="1">
      <c r="G603" s="43"/>
    </row>
    <row r="604" ht="12.0" customHeight="1">
      <c r="G604" s="43"/>
    </row>
    <row r="605" ht="12.0" customHeight="1">
      <c r="G605" s="43"/>
    </row>
    <row r="606" ht="12.0" customHeight="1">
      <c r="G606" s="43"/>
    </row>
    <row r="607" ht="12.0" customHeight="1">
      <c r="G607" s="43"/>
    </row>
    <row r="608" ht="12.0" customHeight="1">
      <c r="G608" s="43"/>
    </row>
    <row r="609" ht="12.0" customHeight="1">
      <c r="G609" s="43"/>
    </row>
    <row r="610" ht="12.0" customHeight="1">
      <c r="G610" s="43"/>
    </row>
    <row r="611" ht="12.0" customHeight="1">
      <c r="G611" s="43"/>
    </row>
    <row r="612" ht="12.0" customHeight="1">
      <c r="G612" s="43"/>
    </row>
    <row r="613" ht="12.0" customHeight="1">
      <c r="G613" s="43"/>
    </row>
    <row r="614" ht="12.0" customHeight="1">
      <c r="G614" s="43"/>
    </row>
    <row r="615" ht="12.0" customHeight="1">
      <c r="G615" s="43"/>
    </row>
    <row r="616" ht="12.0" customHeight="1">
      <c r="G616" s="43"/>
    </row>
    <row r="617" ht="12.0" customHeight="1">
      <c r="G617" s="43"/>
    </row>
    <row r="618" ht="12.0" customHeight="1">
      <c r="G618" s="43"/>
    </row>
    <row r="619" ht="12.0" customHeight="1">
      <c r="G619" s="43"/>
    </row>
    <row r="620" ht="12.0" customHeight="1">
      <c r="G620" s="43"/>
    </row>
    <row r="621" ht="12.0" customHeight="1">
      <c r="G621" s="43"/>
    </row>
    <row r="622" ht="12.0" customHeight="1">
      <c r="G622" s="43"/>
    </row>
    <row r="623" ht="12.0" customHeight="1">
      <c r="G623" s="43"/>
    </row>
    <row r="624" ht="12.0" customHeight="1">
      <c r="G624" s="43"/>
    </row>
    <row r="625" ht="12.0" customHeight="1">
      <c r="G625" s="43"/>
    </row>
    <row r="626" ht="12.0" customHeight="1">
      <c r="G626" s="43"/>
    </row>
    <row r="627" ht="12.0" customHeight="1">
      <c r="G627" s="43"/>
    </row>
    <row r="628" ht="12.0" customHeight="1">
      <c r="G628" s="43"/>
    </row>
    <row r="629" ht="12.0" customHeight="1">
      <c r="G629" s="43"/>
    </row>
    <row r="630" ht="12.0" customHeight="1">
      <c r="G630" s="43"/>
    </row>
    <row r="631" ht="12.0" customHeight="1">
      <c r="G631" s="43"/>
    </row>
    <row r="632" ht="12.0" customHeight="1">
      <c r="G632" s="43"/>
    </row>
    <row r="633" ht="12.0" customHeight="1">
      <c r="G633" s="43"/>
    </row>
    <row r="634" ht="12.0" customHeight="1">
      <c r="G634" s="43"/>
    </row>
    <row r="635" ht="12.0" customHeight="1">
      <c r="G635" s="43"/>
    </row>
    <row r="636" ht="12.0" customHeight="1">
      <c r="G636" s="43"/>
    </row>
    <row r="637" ht="12.0" customHeight="1">
      <c r="G637" s="43"/>
    </row>
    <row r="638" ht="12.0" customHeight="1">
      <c r="G638" s="43"/>
    </row>
    <row r="639" ht="12.0" customHeight="1">
      <c r="G639" s="43"/>
    </row>
    <row r="640" ht="12.0" customHeight="1">
      <c r="G640" s="43"/>
    </row>
    <row r="641" ht="12.0" customHeight="1">
      <c r="G641" s="43"/>
    </row>
    <row r="642" ht="12.0" customHeight="1">
      <c r="G642" s="43"/>
    </row>
    <row r="643" ht="12.0" customHeight="1">
      <c r="G643" s="43"/>
    </row>
    <row r="644" ht="12.0" customHeight="1">
      <c r="G644" s="43"/>
    </row>
    <row r="645" ht="12.0" customHeight="1">
      <c r="G645" s="43"/>
    </row>
    <row r="646" ht="12.0" customHeight="1">
      <c r="G646" s="43"/>
    </row>
    <row r="647" ht="12.0" customHeight="1">
      <c r="G647" s="43"/>
    </row>
    <row r="648" ht="12.0" customHeight="1">
      <c r="G648" s="43"/>
    </row>
    <row r="649" ht="12.0" customHeight="1">
      <c r="G649" s="43"/>
    </row>
    <row r="650" ht="12.0" customHeight="1">
      <c r="G650" s="43"/>
    </row>
    <row r="651" ht="12.0" customHeight="1">
      <c r="G651" s="43"/>
    </row>
    <row r="652" ht="12.0" customHeight="1">
      <c r="G652" s="43"/>
    </row>
    <row r="653" ht="12.0" customHeight="1">
      <c r="G653" s="43"/>
    </row>
    <row r="654" ht="12.0" customHeight="1">
      <c r="G654" s="43"/>
    </row>
    <row r="655" ht="12.0" customHeight="1">
      <c r="G655" s="43"/>
    </row>
    <row r="656" ht="12.0" customHeight="1">
      <c r="G656" s="43"/>
    </row>
    <row r="657" ht="12.0" customHeight="1">
      <c r="G657" s="43"/>
    </row>
    <row r="658" ht="12.0" customHeight="1">
      <c r="G658" s="43"/>
    </row>
    <row r="659" ht="12.0" customHeight="1">
      <c r="G659" s="43"/>
    </row>
    <row r="660" ht="12.0" customHeight="1">
      <c r="G660" s="43"/>
    </row>
    <row r="661" ht="12.0" customHeight="1">
      <c r="G661" s="43"/>
    </row>
    <row r="662" ht="12.0" customHeight="1">
      <c r="G662" s="43"/>
    </row>
    <row r="663" ht="12.0" customHeight="1">
      <c r="G663" s="43"/>
    </row>
    <row r="664" ht="12.0" customHeight="1">
      <c r="G664" s="43"/>
    </row>
    <row r="665" ht="12.0" customHeight="1">
      <c r="G665" s="43"/>
    </row>
    <row r="666" ht="12.0" customHeight="1">
      <c r="G666" s="43"/>
    </row>
    <row r="667" ht="12.0" customHeight="1">
      <c r="G667" s="43"/>
    </row>
    <row r="668" ht="12.0" customHeight="1">
      <c r="G668" s="43"/>
    </row>
    <row r="669" ht="12.0" customHeight="1">
      <c r="G669" s="43"/>
    </row>
    <row r="670" ht="12.0" customHeight="1">
      <c r="G670" s="43"/>
    </row>
    <row r="671" ht="12.0" customHeight="1">
      <c r="G671" s="43"/>
    </row>
    <row r="672" ht="12.0" customHeight="1">
      <c r="G672" s="43"/>
    </row>
    <row r="673" ht="12.0" customHeight="1">
      <c r="G673" s="43"/>
    </row>
    <row r="674" ht="12.0" customHeight="1">
      <c r="G674" s="43"/>
    </row>
    <row r="675" ht="12.0" customHeight="1">
      <c r="G675" s="43"/>
    </row>
    <row r="676" ht="12.0" customHeight="1">
      <c r="G676" s="43"/>
    </row>
    <row r="677" ht="12.0" customHeight="1">
      <c r="G677" s="43"/>
    </row>
    <row r="678" ht="12.0" customHeight="1">
      <c r="G678" s="43"/>
    </row>
    <row r="679" ht="12.0" customHeight="1">
      <c r="G679" s="43"/>
    </row>
    <row r="680" ht="12.0" customHeight="1">
      <c r="G680" s="43"/>
    </row>
    <row r="681" ht="12.0" customHeight="1">
      <c r="G681" s="43"/>
    </row>
    <row r="682" ht="12.0" customHeight="1">
      <c r="G682" s="43"/>
    </row>
    <row r="683" ht="12.0" customHeight="1">
      <c r="G683" s="43"/>
    </row>
    <row r="684" ht="12.0" customHeight="1">
      <c r="G684" s="43"/>
    </row>
    <row r="685" ht="12.0" customHeight="1">
      <c r="G685" s="43"/>
    </row>
    <row r="686" ht="12.0" customHeight="1">
      <c r="G686" s="43"/>
    </row>
    <row r="687" ht="12.0" customHeight="1">
      <c r="G687" s="43"/>
    </row>
    <row r="688" ht="12.0" customHeight="1">
      <c r="G688" s="43"/>
    </row>
    <row r="689" ht="12.0" customHeight="1">
      <c r="G689" s="43"/>
    </row>
    <row r="690" ht="12.0" customHeight="1">
      <c r="G690" s="43"/>
    </row>
    <row r="691" ht="12.0" customHeight="1">
      <c r="G691" s="43"/>
    </row>
    <row r="692" ht="12.0" customHeight="1">
      <c r="G692" s="43"/>
    </row>
    <row r="693" ht="12.0" customHeight="1">
      <c r="G693" s="43"/>
    </row>
    <row r="694" ht="12.0" customHeight="1">
      <c r="G694" s="43"/>
    </row>
    <row r="695" ht="12.0" customHeight="1">
      <c r="G695" s="43"/>
    </row>
    <row r="696" ht="12.0" customHeight="1">
      <c r="G696" s="43"/>
    </row>
    <row r="697" ht="12.0" customHeight="1">
      <c r="G697" s="43"/>
    </row>
    <row r="698" ht="12.0" customHeight="1">
      <c r="G698" s="43"/>
    </row>
    <row r="699" ht="12.0" customHeight="1">
      <c r="G699" s="43"/>
    </row>
    <row r="700" ht="12.0" customHeight="1">
      <c r="G700" s="43"/>
    </row>
    <row r="701" ht="12.0" customHeight="1">
      <c r="G701" s="43"/>
    </row>
    <row r="702" ht="12.0" customHeight="1">
      <c r="G702" s="43"/>
    </row>
    <row r="703" ht="12.0" customHeight="1">
      <c r="G703" s="43"/>
    </row>
    <row r="704" ht="12.0" customHeight="1">
      <c r="G704" s="43"/>
    </row>
    <row r="705" ht="12.0" customHeight="1">
      <c r="G705" s="43"/>
    </row>
    <row r="706" ht="12.0" customHeight="1">
      <c r="G706" s="43"/>
    </row>
    <row r="707" ht="12.0" customHeight="1">
      <c r="G707" s="43"/>
    </row>
    <row r="708" ht="12.0" customHeight="1">
      <c r="G708" s="43"/>
    </row>
    <row r="709" ht="12.0" customHeight="1">
      <c r="G709" s="43"/>
    </row>
    <row r="710" ht="12.0" customHeight="1">
      <c r="G710" s="43"/>
    </row>
    <row r="711" ht="12.0" customHeight="1">
      <c r="G711" s="43"/>
    </row>
    <row r="712" ht="12.0" customHeight="1">
      <c r="G712" s="43"/>
    </row>
    <row r="713" ht="12.0" customHeight="1">
      <c r="G713" s="43"/>
    </row>
    <row r="714" ht="12.0" customHeight="1">
      <c r="G714" s="43"/>
    </row>
    <row r="715" ht="12.0" customHeight="1">
      <c r="G715" s="43"/>
    </row>
    <row r="716" ht="12.0" customHeight="1">
      <c r="G716" s="43"/>
    </row>
    <row r="717" ht="12.0" customHeight="1">
      <c r="G717" s="43"/>
    </row>
    <row r="718" ht="12.0" customHeight="1">
      <c r="G718" s="43"/>
    </row>
    <row r="719" ht="12.0" customHeight="1">
      <c r="G719" s="43"/>
    </row>
    <row r="720" ht="12.0" customHeight="1">
      <c r="G720" s="43"/>
    </row>
    <row r="721" ht="12.0" customHeight="1">
      <c r="G721" s="43"/>
    </row>
    <row r="722" ht="12.0" customHeight="1">
      <c r="G722" s="43"/>
    </row>
    <row r="723" ht="12.0" customHeight="1">
      <c r="G723" s="43"/>
    </row>
    <row r="724" ht="12.0" customHeight="1">
      <c r="G724" s="43"/>
    </row>
    <row r="725" ht="12.0" customHeight="1">
      <c r="G725" s="43"/>
    </row>
    <row r="726" ht="12.0" customHeight="1">
      <c r="G726" s="43"/>
    </row>
    <row r="727" ht="12.0" customHeight="1">
      <c r="G727" s="43"/>
    </row>
    <row r="728" ht="12.0" customHeight="1">
      <c r="G728" s="43"/>
    </row>
    <row r="729" ht="12.0" customHeight="1">
      <c r="G729" s="43"/>
    </row>
    <row r="730" ht="12.0" customHeight="1">
      <c r="G730" s="43"/>
    </row>
    <row r="731" ht="12.0" customHeight="1">
      <c r="G731" s="43"/>
    </row>
    <row r="732" ht="12.0" customHeight="1">
      <c r="G732" s="43"/>
    </row>
    <row r="733" ht="12.0" customHeight="1">
      <c r="G733" s="43"/>
    </row>
    <row r="734" ht="12.0" customHeight="1">
      <c r="G734" s="43"/>
    </row>
    <row r="735" ht="12.0" customHeight="1">
      <c r="G735" s="43"/>
    </row>
    <row r="736" ht="12.0" customHeight="1">
      <c r="G736" s="43"/>
    </row>
    <row r="737" ht="12.0" customHeight="1">
      <c r="G737" s="43"/>
    </row>
    <row r="738" ht="12.0" customHeight="1">
      <c r="G738" s="43"/>
    </row>
    <row r="739" ht="12.0" customHeight="1">
      <c r="G739" s="43"/>
    </row>
    <row r="740" ht="12.0" customHeight="1">
      <c r="G740" s="43"/>
    </row>
    <row r="741" ht="12.0" customHeight="1">
      <c r="G741" s="43"/>
    </row>
    <row r="742" ht="12.0" customHeight="1">
      <c r="G742" s="43"/>
    </row>
    <row r="743" ht="12.0" customHeight="1">
      <c r="G743" s="43"/>
    </row>
    <row r="744" ht="12.0" customHeight="1">
      <c r="G744" s="43"/>
    </row>
    <row r="745" ht="12.0" customHeight="1">
      <c r="G745" s="43"/>
    </row>
    <row r="746" ht="12.0" customHeight="1">
      <c r="G746" s="43"/>
    </row>
    <row r="747" ht="12.0" customHeight="1">
      <c r="G747" s="43"/>
    </row>
    <row r="748" ht="12.0" customHeight="1">
      <c r="G748" s="43"/>
    </row>
    <row r="749" ht="12.0" customHeight="1">
      <c r="G749" s="43"/>
    </row>
    <row r="750" ht="12.0" customHeight="1">
      <c r="G750" s="43"/>
    </row>
    <row r="751" ht="12.0" customHeight="1">
      <c r="G751" s="43"/>
    </row>
    <row r="752" ht="12.0" customHeight="1">
      <c r="G752" s="43"/>
    </row>
    <row r="753" ht="12.0" customHeight="1">
      <c r="G753" s="43"/>
    </row>
    <row r="754" ht="12.0" customHeight="1">
      <c r="G754" s="43"/>
    </row>
    <row r="755" ht="12.0" customHeight="1">
      <c r="G755" s="43"/>
    </row>
    <row r="756" ht="12.0" customHeight="1">
      <c r="G756" s="43"/>
    </row>
    <row r="757" ht="12.0" customHeight="1">
      <c r="G757" s="43"/>
    </row>
    <row r="758" ht="12.0" customHeight="1">
      <c r="G758" s="43"/>
    </row>
    <row r="759" ht="12.0" customHeight="1">
      <c r="G759" s="43"/>
    </row>
    <row r="760" ht="12.0" customHeight="1">
      <c r="G760" s="43"/>
    </row>
    <row r="761" ht="12.0" customHeight="1">
      <c r="G761" s="43"/>
    </row>
    <row r="762" ht="12.0" customHeight="1">
      <c r="G762" s="43"/>
    </row>
    <row r="763" ht="12.0" customHeight="1">
      <c r="G763" s="43"/>
    </row>
    <row r="764" ht="12.0" customHeight="1">
      <c r="G764" s="43"/>
    </row>
    <row r="765" ht="12.0" customHeight="1">
      <c r="G765" s="43"/>
    </row>
    <row r="766" ht="12.0" customHeight="1">
      <c r="G766" s="43"/>
    </row>
    <row r="767" ht="12.0" customHeight="1">
      <c r="G767" s="43"/>
    </row>
    <row r="768" ht="12.0" customHeight="1">
      <c r="G768" s="43"/>
    </row>
    <row r="769" ht="12.0" customHeight="1">
      <c r="G769" s="43"/>
    </row>
    <row r="770" ht="12.0" customHeight="1">
      <c r="G770" s="43"/>
    </row>
    <row r="771" ht="12.0" customHeight="1">
      <c r="G771" s="43"/>
    </row>
    <row r="772" ht="12.0" customHeight="1">
      <c r="G772" s="43"/>
    </row>
    <row r="773" ht="12.0" customHeight="1">
      <c r="G773" s="43"/>
    </row>
    <row r="774" ht="12.0" customHeight="1">
      <c r="G774" s="43"/>
    </row>
    <row r="775" ht="12.0" customHeight="1">
      <c r="G775" s="43"/>
    </row>
    <row r="776" ht="12.0" customHeight="1">
      <c r="G776" s="43"/>
    </row>
    <row r="777" ht="12.0" customHeight="1">
      <c r="G777" s="43"/>
    </row>
    <row r="778" ht="12.0" customHeight="1">
      <c r="G778" s="43"/>
    </row>
    <row r="779" ht="12.0" customHeight="1">
      <c r="G779" s="43"/>
    </row>
    <row r="780" ht="12.0" customHeight="1">
      <c r="G780" s="43"/>
    </row>
    <row r="781" ht="12.0" customHeight="1">
      <c r="G781" s="43"/>
    </row>
    <row r="782" ht="12.0" customHeight="1">
      <c r="G782" s="43"/>
    </row>
    <row r="783" ht="12.0" customHeight="1">
      <c r="G783" s="43"/>
    </row>
    <row r="784" ht="12.0" customHeight="1">
      <c r="G784" s="43"/>
    </row>
    <row r="785" ht="12.0" customHeight="1">
      <c r="G785" s="43"/>
    </row>
    <row r="786" ht="12.0" customHeight="1">
      <c r="G786" s="43"/>
    </row>
    <row r="787" ht="12.0" customHeight="1">
      <c r="G787" s="43"/>
    </row>
    <row r="788" ht="12.0" customHeight="1">
      <c r="G788" s="43"/>
    </row>
    <row r="789" ht="12.0" customHeight="1">
      <c r="G789" s="43"/>
    </row>
    <row r="790" ht="12.0" customHeight="1">
      <c r="G790" s="43"/>
    </row>
    <row r="791" ht="12.0" customHeight="1">
      <c r="G791" s="43"/>
    </row>
    <row r="792" ht="12.0" customHeight="1">
      <c r="G792" s="43"/>
    </row>
    <row r="793" ht="12.0" customHeight="1">
      <c r="G793" s="43"/>
    </row>
    <row r="794" ht="12.0" customHeight="1">
      <c r="G794" s="43"/>
    </row>
    <row r="795" ht="12.0" customHeight="1">
      <c r="G795" s="43"/>
    </row>
    <row r="796" ht="12.0" customHeight="1">
      <c r="G796" s="43"/>
    </row>
    <row r="797" ht="12.0" customHeight="1">
      <c r="G797" s="43"/>
    </row>
    <row r="798" ht="12.0" customHeight="1">
      <c r="G798" s="43"/>
    </row>
    <row r="799" ht="12.0" customHeight="1">
      <c r="G799" s="43"/>
    </row>
    <row r="800" ht="12.0" customHeight="1">
      <c r="G800" s="43"/>
    </row>
    <row r="801" ht="12.0" customHeight="1">
      <c r="G801" s="43"/>
    </row>
    <row r="802" ht="12.0" customHeight="1">
      <c r="G802" s="43"/>
    </row>
    <row r="803" ht="12.0" customHeight="1">
      <c r="G803" s="43"/>
    </row>
    <row r="804" ht="12.0" customHeight="1">
      <c r="G804" s="43"/>
    </row>
    <row r="805" ht="12.0" customHeight="1">
      <c r="G805" s="43"/>
    </row>
    <row r="806" ht="12.0" customHeight="1">
      <c r="G806" s="43"/>
    </row>
    <row r="807" ht="12.0" customHeight="1">
      <c r="G807" s="43"/>
    </row>
    <row r="808" ht="12.0" customHeight="1">
      <c r="G808" s="43"/>
    </row>
    <row r="809" ht="12.0" customHeight="1">
      <c r="G809" s="43"/>
    </row>
    <row r="810" ht="12.0" customHeight="1">
      <c r="G810" s="43"/>
    </row>
    <row r="811" ht="12.0" customHeight="1">
      <c r="G811" s="43"/>
    </row>
    <row r="812" ht="12.0" customHeight="1">
      <c r="G812" s="43"/>
    </row>
    <row r="813" ht="12.0" customHeight="1">
      <c r="G813" s="43"/>
    </row>
    <row r="814" ht="12.0" customHeight="1">
      <c r="G814" s="43"/>
    </row>
    <row r="815" ht="12.0" customHeight="1">
      <c r="G815" s="43"/>
    </row>
    <row r="816" ht="12.0" customHeight="1">
      <c r="G816" s="43"/>
    </row>
    <row r="817" ht="12.0" customHeight="1">
      <c r="G817" s="43"/>
    </row>
    <row r="818" ht="12.0" customHeight="1">
      <c r="G818" s="43"/>
    </row>
    <row r="819" ht="12.0" customHeight="1">
      <c r="G819" s="43"/>
    </row>
    <row r="820" ht="12.0" customHeight="1">
      <c r="G820" s="43"/>
    </row>
    <row r="821" ht="12.0" customHeight="1">
      <c r="G821" s="43"/>
    </row>
    <row r="822" ht="12.0" customHeight="1">
      <c r="G822" s="43"/>
    </row>
    <row r="823" ht="12.0" customHeight="1">
      <c r="G823" s="43"/>
    </row>
    <row r="824" ht="12.0" customHeight="1">
      <c r="G824" s="43"/>
    </row>
    <row r="825" ht="12.0" customHeight="1">
      <c r="G825" s="43"/>
    </row>
    <row r="826" ht="12.0" customHeight="1">
      <c r="G826" s="43"/>
    </row>
    <row r="827" ht="12.0" customHeight="1">
      <c r="G827" s="43"/>
    </row>
    <row r="828" ht="12.0" customHeight="1">
      <c r="G828" s="43"/>
    </row>
    <row r="829" ht="12.0" customHeight="1">
      <c r="G829" s="43"/>
    </row>
    <row r="830" ht="12.0" customHeight="1">
      <c r="G830" s="43"/>
    </row>
    <row r="831" ht="12.0" customHeight="1">
      <c r="G831" s="43"/>
    </row>
    <row r="832" ht="12.0" customHeight="1">
      <c r="G832" s="43"/>
    </row>
    <row r="833" ht="12.0" customHeight="1">
      <c r="G833" s="43"/>
    </row>
    <row r="834" ht="12.0" customHeight="1">
      <c r="G834" s="43"/>
    </row>
    <row r="835" ht="12.0" customHeight="1">
      <c r="G835" s="43"/>
    </row>
    <row r="836" ht="12.0" customHeight="1">
      <c r="G836" s="43"/>
    </row>
    <row r="837" ht="12.0" customHeight="1">
      <c r="G837" s="43"/>
    </row>
    <row r="838" ht="12.0" customHeight="1">
      <c r="G838" s="43"/>
    </row>
    <row r="839" ht="12.0" customHeight="1">
      <c r="G839" s="43"/>
    </row>
    <row r="840" ht="12.0" customHeight="1">
      <c r="G840" s="43"/>
    </row>
    <row r="841" ht="12.0" customHeight="1">
      <c r="G841" s="43"/>
    </row>
    <row r="842" ht="12.0" customHeight="1">
      <c r="G842" s="43"/>
    </row>
    <row r="843" ht="12.0" customHeight="1">
      <c r="G843" s="43"/>
    </row>
    <row r="844" ht="12.0" customHeight="1">
      <c r="G844" s="43"/>
    </row>
    <row r="845" ht="12.0" customHeight="1">
      <c r="G845" s="43"/>
    </row>
    <row r="846" ht="12.0" customHeight="1">
      <c r="G846" s="43"/>
    </row>
    <row r="847" ht="12.0" customHeight="1">
      <c r="G847" s="43"/>
    </row>
    <row r="848" ht="12.0" customHeight="1">
      <c r="G848" s="43"/>
    </row>
    <row r="849" ht="12.0" customHeight="1">
      <c r="G849" s="43"/>
    </row>
    <row r="850" ht="12.0" customHeight="1">
      <c r="G850" s="43"/>
    </row>
    <row r="851" ht="12.0" customHeight="1">
      <c r="G851" s="43"/>
    </row>
    <row r="852" ht="12.0" customHeight="1">
      <c r="G852" s="43"/>
    </row>
    <row r="853" ht="12.0" customHeight="1">
      <c r="G853" s="43"/>
    </row>
    <row r="854" ht="12.0" customHeight="1">
      <c r="G854" s="43"/>
    </row>
    <row r="855" ht="12.0" customHeight="1">
      <c r="G855" s="43"/>
    </row>
    <row r="856" ht="12.0" customHeight="1">
      <c r="G856" s="43"/>
    </row>
    <row r="857" ht="12.0" customHeight="1">
      <c r="G857" s="43"/>
    </row>
    <row r="858" ht="12.0" customHeight="1">
      <c r="G858" s="43"/>
    </row>
    <row r="859" ht="12.0" customHeight="1">
      <c r="G859" s="43"/>
    </row>
    <row r="860" ht="12.0" customHeight="1">
      <c r="G860" s="43"/>
    </row>
    <row r="861" ht="12.0" customHeight="1">
      <c r="G861" s="43"/>
    </row>
    <row r="862" ht="12.0" customHeight="1">
      <c r="G862" s="43"/>
    </row>
    <row r="863" ht="12.0" customHeight="1">
      <c r="G863" s="43"/>
    </row>
    <row r="864" ht="12.0" customHeight="1">
      <c r="G864" s="43"/>
    </row>
    <row r="865" ht="12.0" customHeight="1">
      <c r="G865" s="43"/>
    </row>
    <row r="866" ht="12.0" customHeight="1">
      <c r="G866" s="43"/>
    </row>
    <row r="867" ht="12.0" customHeight="1">
      <c r="G867" s="43"/>
    </row>
    <row r="868" ht="12.0" customHeight="1">
      <c r="G868" s="43"/>
    </row>
    <row r="869" ht="12.0" customHeight="1">
      <c r="G869" s="43"/>
    </row>
    <row r="870" ht="12.0" customHeight="1">
      <c r="G870" s="43"/>
    </row>
    <row r="871" ht="12.0" customHeight="1">
      <c r="G871" s="43"/>
    </row>
    <row r="872" ht="12.0" customHeight="1">
      <c r="G872" s="43"/>
    </row>
    <row r="873" ht="12.0" customHeight="1">
      <c r="G873" s="43"/>
    </row>
    <row r="874" ht="12.0" customHeight="1">
      <c r="G874" s="43"/>
    </row>
    <row r="875" ht="12.0" customHeight="1">
      <c r="G875" s="43"/>
    </row>
    <row r="876" ht="12.0" customHeight="1">
      <c r="G876" s="43"/>
    </row>
    <row r="877" ht="12.0" customHeight="1">
      <c r="G877" s="43"/>
    </row>
    <row r="878" ht="12.0" customHeight="1">
      <c r="G878" s="43"/>
    </row>
    <row r="879" ht="12.0" customHeight="1">
      <c r="G879" s="43"/>
    </row>
    <row r="880" ht="12.0" customHeight="1">
      <c r="G880" s="43"/>
    </row>
    <row r="881" ht="12.0" customHeight="1">
      <c r="G881" s="43"/>
    </row>
    <row r="882" ht="12.0" customHeight="1">
      <c r="G882" s="43"/>
    </row>
    <row r="883" ht="12.0" customHeight="1">
      <c r="G883" s="43"/>
    </row>
    <row r="884" ht="12.0" customHeight="1">
      <c r="G884" s="43"/>
    </row>
    <row r="885" ht="12.0" customHeight="1">
      <c r="G885" s="43"/>
    </row>
    <row r="886" ht="12.0" customHeight="1">
      <c r="G886" s="43"/>
    </row>
    <row r="887" ht="12.0" customHeight="1">
      <c r="G887" s="43"/>
    </row>
    <row r="888" ht="12.0" customHeight="1">
      <c r="G888" s="43"/>
    </row>
    <row r="889" ht="12.0" customHeight="1">
      <c r="G889" s="43"/>
    </row>
    <row r="890" ht="12.0" customHeight="1">
      <c r="G890" s="43"/>
    </row>
    <row r="891" ht="12.0" customHeight="1">
      <c r="G891" s="43"/>
    </row>
    <row r="892" ht="12.0" customHeight="1">
      <c r="G892" s="43"/>
    </row>
    <row r="893" ht="12.0" customHeight="1">
      <c r="G893" s="43"/>
    </row>
    <row r="894" ht="12.0" customHeight="1">
      <c r="G894" s="43"/>
    </row>
    <row r="895" ht="12.0" customHeight="1">
      <c r="G895" s="43"/>
    </row>
    <row r="896" ht="12.0" customHeight="1">
      <c r="G896" s="43"/>
    </row>
    <row r="897" ht="12.0" customHeight="1">
      <c r="G897" s="43"/>
    </row>
    <row r="898" ht="12.0" customHeight="1">
      <c r="G898" s="43"/>
    </row>
    <row r="899" ht="12.0" customHeight="1">
      <c r="G899" s="43"/>
    </row>
    <row r="900" ht="12.0" customHeight="1">
      <c r="G900" s="43"/>
    </row>
    <row r="901" ht="12.0" customHeight="1">
      <c r="G901" s="43"/>
    </row>
    <row r="902" ht="12.0" customHeight="1">
      <c r="G902" s="43"/>
    </row>
    <row r="903" ht="12.0" customHeight="1">
      <c r="G903" s="43"/>
    </row>
    <row r="904" ht="12.0" customHeight="1">
      <c r="G904" s="43"/>
    </row>
    <row r="905" ht="12.0" customHeight="1">
      <c r="G905" s="43"/>
    </row>
    <row r="906" ht="12.0" customHeight="1">
      <c r="G906" s="43"/>
    </row>
    <row r="907" ht="12.0" customHeight="1">
      <c r="G907" s="43"/>
    </row>
    <row r="908" ht="12.0" customHeight="1">
      <c r="G908" s="43"/>
    </row>
    <row r="909" ht="12.0" customHeight="1">
      <c r="G909" s="43"/>
    </row>
    <row r="910" ht="12.0" customHeight="1">
      <c r="G910" s="43"/>
    </row>
    <row r="911" ht="12.0" customHeight="1">
      <c r="G911" s="43"/>
    </row>
    <row r="912" ht="12.0" customHeight="1">
      <c r="G912" s="43"/>
    </row>
    <row r="913" ht="12.0" customHeight="1">
      <c r="G913" s="43"/>
    </row>
    <row r="914" ht="12.0" customHeight="1">
      <c r="G914" s="43"/>
    </row>
    <row r="915" ht="12.0" customHeight="1">
      <c r="G915" s="43"/>
    </row>
    <row r="916" ht="12.0" customHeight="1">
      <c r="G916" s="43"/>
    </row>
    <row r="917" ht="12.0" customHeight="1">
      <c r="G917" s="43"/>
    </row>
    <row r="918" ht="12.0" customHeight="1">
      <c r="G918" s="43"/>
    </row>
    <row r="919" ht="12.0" customHeight="1">
      <c r="G919" s="43"/>
    </row>
    <row r="920" ht="12.0" customHeight="1">
      <c r="G920" s="43"/>
    </row>
    <row r="921" ht="12.0" customHeight="1">
      <c r="G921" s="43"/>
    </row>
    <row r="922" ht="12.0" customHeight="1">
      <c r="G922" s="43"/>
    </row>
    <row r="923" ht="12.0" customHeight="1">
      <c r="G923" s="43"/>
    </row>
    <row r="924" ht="12.0" customHeight="1">
      <c r="G924" s="43"/>
    </row>
    <row r="925" ht="12.0" customHeight="1">
      <c r="G925" s="43"/>
    </row>
    <row r="926" ht="12.0" customHeight="1">
      <c r="G926" s="43"/>
    </row>
    <row r="927" ht="12.0" customHeight="1">
      <c r="G927" s="43"/>
    </row>
    <row r="928" ht="12.0" customHeight="1">
      <c r="G928" s="43"/>
    </row>
    <row r="929" ht="12.0" customHeight="1">
      <c r="G929" s="43"/>
    </row>
    <row r="930" ht="12.0" customHeight="1">
      <c r="G930" s="43"/>
    </row>
    <row r="931" ht="12.0" customHeight="1">
      <c r="G931" s="43"/>
    </row>
    <row r="932" ht="12.0" customHeight="1">
      <c r="G932" s="43"/>
    </row>
    <row r="933" ht="12.0" customHeight="1">
      <c r="G933" s="43"/>
    </row>
    <row r="934" ht="12.0" customHeight="1">
      <c r="G934" s="43"/>
    </row>
    <row r="935" ht="12.0" customHeight="1">
      <c r="G935" s="43"/>
    </row>
    <row r="936" ht="12.0" customHeight="1">
      <c r="G936" s="43"/>
    </row>
    <row r="937" ht="12.0" customHeight="1">
      <c r="G937" s="43"/>
    </row>
    <row r="938" ht="12.0" customHeight="1">
      <c r="G938" s="43"/>
    </row>
    <row r="939" ht="12.0" customHeight="1">
      <c r="G939" s="43"/>
    </row>
    <row r="940" ht="12.0" customHeight="1">
      <c r="G940" s="43"/>
    </row>
    <row r="941" ht="12.0" customHeight="1">
      <c r="G941" s="43"/>
    </row>
    <row r="942" ht="12.0" customHeight="1">
      <c r="G942" s="43"/>
    </row>
    <row r="943" ht="12.0" customHeight="1">
      <c r="G943" s="43"/>
    </row>
    <row r="944" ht="12.0" customHeight="1">
      <c r="G944" s="43"/>
    </row>
    <row r="945" ht="12.0" customHeight="1">
      <c r="G945" s="43"/>
    </row>
    <row r="946" ht="12.0" customHeight="1">
      <c r="G946" s="43"/>
    </row>
    <row r="947" ht="12.0" customHeight="1">
      <c r="G947" s="43"/>
    </row>
    <row r="948" ht="12.0" customHeight="1">
      <c r="G948" s="43"/>
    </row>
    <row r="949" ht="12.0" customHeight="1">
      <c r="G949" s="43"/>
    </row>
    <row r="950" ht="12.0" customHeight="1">
      <c r="G950" s="43"/>
    </row>
    <row r="951" ht="12.0" customHeight="1">
      <c r="G951" s="43"/>
    </row>
    <row r="952" ht="12.0" customHeight="1">
      <c r="G952" s="43"/>
    </row>
    <row r="953" ht="12.0" customHeight="1">
      <c r="G953" s="43"/>
    </row>
    <row r="954" ht="12.0" customHeight="1">
      <c r="G954" s="43"/>
    </row>
    <row r="955" ht="12.0" customHeight="1">
      <c r="G955" s="43"/>
    </row>
    <row r="956" ht="12.0" customHeight="1">
      <c r="G956" s="43"/>
    </row>
    <row r="957" ht="12.0" customHeight="1">
      <c r="G957" s="43"/>
    </row>
    <row r="958" ht="12.0" customHeight="1">
      <c r="G958" s="43"/>
    </row>
    <row r="959" ht="12.0" customHeight="1">
      <c r="G959" s="43"/>
    </row>
    <row r="960" ht="12.0" customHeight="1">
      <c r="G960" s="43"/>
    </row>
    <row r="961" ht="12.0" customHeight="1">
      <c r="G961" s="43"/>
    </row>
    <row r="962" ht="12.0" customHeight="1">
      <c r="G962" s="43"/>
    </row>
    <row r="963" ht="12.0" customHeight="1">
      <c r="G963" s="43"/>
    </row>
    <row r="964" ht="12.0" customHeight="1">
      <c r="G964" s="43"/>
    </row>
    <row r="965" ht="12.0" customHeight="1">
      <c r="G965" s="43"/>
    </row>
    <row r="966" ht="12.0" customHeight="1">
      <c r="G966" s="43"/>
    </row>
    <row r="967" ht="12.0" customHeight="1">
      <c r="G967" s="43"/>
    </row>
    <row r="968" ht="12.0" customHeight="1">
      <c r="G968" s="43"/>
    </row>
    <row r="969" ht="12.0" customHeight="1">
      <c r="G969" s="43"/>
    </row>
    <row r="970" ht="12.0" customHeight="1">
      <c r="G970" s="43"/>
    </row>
    <row r="971" ht="12.0" customHeight="1">
      <c r="G971" s="43"/>
    </row>
    <row r="972" ht="12.0" customHeight="1">
      <c r="G972" s="43"/>
    </row>
    <row r="973" ht="12.0" customHeight="1">
      <c r="G973" s="43"/>
    </row>
    <row r="974" ht="12.0" customHeight="1">
      <c r="G974" s="43"/>
    </row>
    <row r="975" ht="12.0" customHeight="1">
      <c r="G975" s="43"/>
    </row>
    <row r="976" ht="12.0" customHeight="1">
      <c r="G976" s="43"/>
    </row>
    <row r="977" ht="12.0" customHeight="1">
      <c r="G977" s="43"/>
    </row>
    <row r="978" ht="12.0" customHeight="1">
      <c r="G978" s="43"/>
    </row>
    <row r="979" ht="12.0" customHeight="1">
      <c r="G979" s="43"/>
    </row>
    <row r="980" ht="12.0" customHeight="1">
      <c r="G980" s="43"/>
    </row>
    <row r="981" ht="12.0" customHeight="1">
      <c r="G981" s="43"/>
    </row>
    <row r="982" ht="12.0" customHeight="1">
      <c r="G982" s="43"/>
    </row>
    <row r="983" ht="12.0" customHeight="1">
      <c r="G983" s="43"/>
    </row>
    <row r="984" ht="12.0" customHeight="1">
      <c r="G984" s="43"/>
    </row>
    <row r="985" ht="12.0" customHeight="1">
      <c r="G985" s="43"/>
    </row>
    <row r="986" ht="12.0" customHeight="1">
      <c r="G986" s="43"/>
    </row>
    <row r="987" ht="12.0" customHeight="1">
      <c r="G987" s="43"/>
    </row>
    <row r="988" ht="12.0" customHeight="1">
      <c r="G988" s="43"/>
    </row>
    <row r="989" ht="12.0" customHeight="1">
      <c r="G989" s="43"/>
    </row>
    <row r="990" ht="12.0" customHeight="1">
      <c r="G990" s="43"/>
    </row>
    <row r="991" ht="12.0" customHeight="1">
      <c r="G991" s="43"/>
    </row>
    <row r="992" ht="12.0" customHeight="1">
      <c r="G992" s="43"/>
    </row>
    <row r="993" ht="12.0" customHeight="1">
      <c r="G993" s="43"/>
    </row>
    <row r="994" ht="12.0" customHeight="1">
      <c r="G994" s="43"/>
    </row>
    <row r="995" ht="12.0" customHeight="1">
      <c r="G995" s="43"/>
    </row>
    <row r="996" ht="12.0" customHeight="1">
      <c r="G996" s="43"/>
    </row>
    <row r="997" ht="12.0" customHeight="1">
      <c r="G997" s="43"/>
    </row>
    <row r="998" ht="12.0" customHeight="1">
      <c r="G998" s="43"/>
    </row>
    <row r="999" ht="12.0" customHeight="1">
      <c r="G999" s="43"/>
    </row>
    <row r="1000" ht="12.0" customHeight="1">
      <c r="G1000" s="43"/>
    </row>
  </sheetData>
  <mergeCells count="18">
    <mergeCell ref="A1:M1"/>
    <mergeCell ref="L2:M2"/>
    <mergeCell ref="D11:E12"/>
    <mergeCell ref="D14:G15"/>
    <mergeCell ref="B16:B19"/>
    <mergeCell ref="D16:I16"/>
    <mergeCell ref="D17:I17"/>
    <mergeCell ref="B61:B67"/>
    <mergeCell ref="I66:M67"/>
    <mergeCell ref="B84:C88"/>
    <mergeCell ref="C113:G115"/>
    <mergeCell ref="D18:I18"/>
    <mergeCell ref="D19:I19"/>
    <mergeCell ref="D22:F22"/>
    <mergeCell ref="D23:F23"/>
    <mergeCell ref="D24:F25"/>
    <mergeCell ref="B33:B34"/>
    <mergeCell ref="AS59:AS65"/>
  </mergeCells>
  <conditionalFormatting sqref="F96">
    <cfRule type="cellIs" dxfId="0" priority="1" stopIfTrue="1" operator="greaterThanOrEqual">
      <formula>F95</formula>
    </cfRule>
  </conditionalFormatting>
  <conditionalFormatting sqref="G98">
    <cfRule type="expression" dxfId="1" priority="2" stopIfTrue="1">
      <formula>F94="Option A"</formula>
    </cfRule>
  </conditionalFormatting>
  <conditionalFormatting sqref="E98">
    <cfRule type="expression" dxfId="2" priority="3" stopIfTrue="1">
      <formula>F94="Option A"</formula>
    </cfRule>
  </conditionalFormatting>
  <conditionalFormatting sqref="F102">
    <cfRule type="expression" dxfId="3" priority="4" stopIfTrue="1">
      <formula>F94="Option A"</formula>
    </cfRule>
  </conditionalFormatting>
  <conditionalFormatting sqref="E102">
    <cfRule type="expression" dxfId="4" priority="5" stopIfTrue="1">
      <formula>F94="Option A"</formula>
    </cfRule>
  </conditionalFormatting>
  <conditionalFormatting sqref="F39">
    <cfRule type="cellIs" dxfId="0" priority="6" stopIfTrue="1" operator="greaterThan">
      <formula>200</formula>
    </cfRule>
  </conditionalFormatting>
  <conditionalFormatting sqref="D109:F112">
    <cfRule type="cellIs" dxfId="5" priority="7" stopIfTrue="1" operator="notBetween">
      <formula>10</formula>
      <formula>80</formula>
    </cfRule>
  </conditionalFormatting>
  <conditionalFormatting sqref="G102">
    <cfRule type="expression" dxfId="6" priority="8">
      <formula>F94="Option A"</formula>
    </cfRule>
  </conditionalFormatting>
  <conditionalFormatting sqref="G106">
    <cfRule type="expression" dxfId="6" priority="9">
      <formula>F94="Option A"</formula>
    </cfRule>
  </conditionalFormatting>
  <conditionalFormatting sqref="E106">
    <cfRule type="expression" dxfId="6" priority="10">
      <formula>F94="Option A"</formula>
    </cfRule>
  </conditionalFormatting>
  <conditionalFormatting sqref="F62">
    <cfRule type="colorScale" priority="11">
      <colorScale>
        <cfvo type="min"/>
        <cfvo type="formula" val="$AN$55*0.8"/>
        <cfvo type="formula" val="$AN$55"/>
        <color theme="0"/>
        <color rgb="FFFFC000"/>
        <color rgb="FFFF0000"/>
      </colorScale>
    </cfRule>
  </conditionalFormatting>
  <conditionalFormatting sqref="F40:F41">
    <cfRule type="cellIs" dxfId="0" priority="12" operator="equal">
      <formula>"NA"</formula>
    </cfRule>
  </conditionalFormatting>
  <conditionalFormatting sqref="F40:F41">
    <cfRule type="cellIs" dxfId="7" priority="13" operator="equal">
      <formula>"""NA"""</formula>
    </cfRule>
  </conditionalFormatting>
  <conditionalFormatting sqref="F73">
    <cfRule type="cellIs" dxfId="0" priority="14" operator="lessThan">
      <formula>0.25</formula>
    </cfRule>
  </conditionalFormatting>
  <conditionalFormatting sqref="F76">
    <cfRule type="cellIs" dxfId="0" priority="15" operator="lessThan">
      <formula>$F$75</formula>
    </cfRule>
  </conditionalFormatting>
  <conditionalFormatting sqref="F78">
    <cfRule type="cellIs" dxfId="0" priority="16" operator="lessThan">
      <formula>1.1</formula>
    </cfRule>
  </conditionalFormatting>
  <conditionalFormatting sqref="F78">
    <cfRule type="cellIs" dxfId="5" priority="17" operator="between">
      <formula>1.1</formula>
      <formula>1.3</formula>
    </cfRule>
  </conditionalFormatting>
  <conditionalFormatting sqref="E71:F71">
    <cfRule type="expression" dxfId="8" priority="18">
      <formula>#REF!="Yes"</formula>
    </cfRule>
  </conditionalFormatting>
  <conditionalFormatting sqref="G82 G84:G89">
    <cfRule type="expression" dxfId="9" priority="19">
      <formula>#REF!="Yes"</formula>
    </cfRule>
  </conditionalFormatting>
  <conditionalFormatting sqref="E72:G78">
    <cfRule type="expression" dxfId="6" priority="20" stopIfTrue="1">
      <formula>$F$71="Yes"</formula>
    </cfRule>
  </conditionalFormatting>
  <conditionalFormatting sqref="B84 D80:G91 E79:G79">
    <cfRule type="expression" dxfId="8" priority="21" stopIfTrue="1">
      <formula>$F$71="NO"</formula>
    </cfRule>
  </conditionalFormatting>
  <conditionalFormatting sqref="F82 F85">
    <cfRule type="cellIs" dxfId="0" priority="22" operator="greaterThanOrEqual">
      <formula>$F$80</formula>
    </cfRule>
  </conditionalFormatting>
  <conditionalFormatting sqref="F86 F91">
    <cfRule type="cellIs" dxfId="0" priority="23" operator="lessThan">
      <formula>1.1</formula>
    </cfRule>
  </conditionalFormatting>
  <conditionalFormatting sqref="F67">
    <cfRule type="cellIs" dxfId="0" priority="24" operator="lessThan">
      <formula>$F$63</formula>
    </cfRule>
  </conditionalFormatting>
  <conditionalFormatting sqref="F79">
    <cfRule type="expression" dxfId="8" priority="25">
      <formula>#REF!="Yes"</formula>
    </cfRule>
  </conditionalFormatting>
  <conditionalFormatting sqref="G54:G60">
    <cfRule type="expression" dxfId="8" priority="26" stopIfTrue="1">
      <formula>IF($F$51="Custom", "FALSE", "TRUE")</formula>
    </cfRule>
  </conditionalFormatting>
  <conditionalFormatting sqref="E40:G44">
    <cfRule type="expression" dxfId="8" priority="27" stopIfTrue="1">
      <formula>IF($F$38="No", "TRUE", "FALSE")</formula>
    </cfRule>
  </conditionalFormatting>
  <conditionalFormatting sqref="F45:F47">
    <cfRule type="cellIs" dxfId="0" priority="28" operator="lessThan">
      <formula>$F$30</formula>
    </cfRule>
  </conditionalFormatting>
  <conditionalFormatting sqref="F80:F81">
    <cfRule type="containsText" dxfId="0" priority="29" operator="containsText" text="NA">
      <formula>NOT(ISERROR(SEARCH(("NA"),(F80))))</formula>
    </cfRule>
  </conditionalFormatting>
  <conditionalFormatting sqref="F86">
    <cfRule type="cellIs" dxfId="5" priority="30" operator="between">
      <formula>1.1</formula>
      <formula>1.499999</formula>
    </cfRule>
  </conditionalFormatting>
  <conditionalFormatting sqref="F91">
    <cfRule type="cellIs" dxfId="5" priority="31" operator="between">
      <formula>1.1</formula>
      <formula>1.299999</formula>
    </cfRule>
  </conditionalFormatting>
  <conditionalFormatting sqref="F64">
    <cfRule type="cellIs" dxfId="0" priority="32" operator="lessThan">
      <formula>$F$63</formula>
    </cfRule>
  </conditionalFormatting>
  <conditionalFormatting sqref="B27:B60 C27:H142 I27:I66 J27:M65 N27:AO142 B68:B142 I68:M142">
    <cfRule type="expression" dxfId="8" priority="33">
      <formula>$G$23="No"</formula>
    </cfRule>
  </conditionalFormatting>
  <conditionalFormatting sqref="B27:B60 C27:H142 I27:I66 J27:M65 N27:AO142 B68:B142 I68:M142">
    <cfRule type="expression" dxfId="8" priority="34">
      <formula>$G$22="No"</formula>
    </cfRule>
  </conditionalFormatting>
  <conditionalFormatting sqref="AS59:AS65">
    <cfRule type="expression" dxfId="8" priority="35">
      <formula>$G$23="No"</formula>
    </cfRule>
  </conditionalFormatting>
  <conditionalFormatting sqref="AS59:AS65">
    <cfRule type="expression" dxfId="8" priority="36">
      <formula>$G$22="No"</formula>
    </cfRule>
  </conditionalFormatting>
  <conditionalFormatting sqref="B61:B67">
    <cfRule type="expression" dxfId="8" priority="37">
      <formula>$G$23="No"</formula>
    </cfRule>
  </conditionalFormatting>
  <conditionalFormatting sqref="B61:B67">
    <cfRule type="expression" dxfId="8" priority="38">
      <formula>$G$22="No"</formula>
    </cfRule>
  </conditionalFormatting>
  <dataValidations>
    <dataValidation type="decimal" allowBlank="1" showInputMessage="1" showErrorMessage="1" prompt="Must enter a value less than 10" sqref="F43">
      <formula1>0.0</formula1>
      <formula2>10.0</formula2>
    </dataValidation>
    <dataValidation type="list" allowBlank="1" showErrorMessage="1" sqref="F69">
      <formula1>$AN$70:$AN$71</formula1>
    </dataValidation>
    <dataValidation type="list" allowBlank="1" showErrorMessage="1" sqref="F38 F71 F79">
      <formula1>$AN$38:$AN$39</formula1>
    </dataValidation>
    <dataValidation type="decimal" operator="lessThanOrEqual" allowBlank="1" showInputMessage="1" showErrorMessage="1" prompt="Maximum System Voltage Violation - The maximum system voltage must be no greater than 80V." sqref="F29">
      <formula1>'Device Parameters'!E5</formula1>
    </dataValidation>
    <dataValidation type="list" allowBlank="1" showErrorMessage="1" sqref="F49">
      <formula1>$AN$47:$AN$48</formula1>
    </dataValidation>
    <dataValidation type="decimal" allowBlank="1" showInputMessage="1" showErrorMessage="1" prompt="Minimum System Voltage Violation - Input voltage should be between 10V and 80V." sqref="F28">
      <formula1>F27</formula1>
      <formula2>F29</formula2>
    </dataValidation>
    <dataValidation type="list" allowBlank="1" showErrorMessage="1" sqref="F50">
      <formula1>$AN$49:$AN$50</formula1>
    </dataValidation>
    <dataValidation type="decimal" allowBlank="1" showInputMessage="1" showErrorMessage="1" prompt="Lower UVLO Violation - The lower UVLO threshold MUST be at least 2.65V, and  less than the upper UVLO threshold. They cannot be equal." sqref="F96">
      <formula1>2.65</formula1>
      <formula2>F95</formula2>
    </dataValidation>
    <dataValidation type="decimal" operator="greaterThanOrEqual" allowBlank="1" showInputMessage="1" showErrorMessage="1" prompt="Load Capacitance Violation - A minimum load capacitance of 10 uF is required to help prevent disruptions at turn off." sqref="F31">
      <formula1>10.0</formula1>
    </dataValidation>
    <dataValidation type="decimal" allowBlank="1" showErrorMessage="1" sqref="F53">
      <formula1>1.0</formula1>
      <formula2>6.0</formula2>
    </dataValidation>
    <dataValidation type="decimal" allowBlank="1" showErrorMessage="1" sqref="F68">
      <formula1>0.0</formula1>
      <formula2>Equations!F91</formula2>
    </dataValidation>
    <dataValidation type="decimal" operator="greaterThanOrEqual" allowBlank="1" showInputMessage="1" showErrorMessage="1" prompt="Minimum System Voltage Violation - The minimum system voltage must be at least 9V." sqref="F27">
      <formula1>'Device Parameters'!C5</formula1>
    </dataValidation>
    <dataValidation type="decimal" allowBlank="1" showInputMessage="1" showErrorMessage="1" prompt="Ambient Temperature Violation - The Ambient Temperature must be between -40C and 125C" sqref="F33">
      <formula1>'Device Parameters'!C6</formula1>
      <formula2>'Device Parameters'!E6</formula2>
    </dataValidation>
    <dataValidation type="list" allowBlank="1" showErrorMessage="1" sqref="F94">
      <formula1>$AN$94:$AN$95</formula1>
    </dataValidation>
    <dataValidation type="custom" allowBlank="1" showInputMessage="1" prompt="Resistor Divider - When using resistor divider Rs should be set larger than Rs,eff. _x000a__x000a_Otherwise switch to &quot;No resistor divider&quot;" sqref="F40">
      <formula1>"""NA"""</formula1>
    </dataValidation>
    <dataValidation type="decimal" allowBlank="1" showInputMessage="1" showErrorMessage="1" prompt="UVLO Threshold Violation - The upper UVLO threshold must be no less than 10V, and no greater than 80V." sqref="F95">
      <formula1>10.0</formula1>
      <formula2>80.0</formula2>
    </dataValidation>
    <dataValidation type="decimal" allowBlank="1" showInputMessage="1" showErrorMessage="1" prompt="Lower OVLO Threshold Violation - The lower OVLO threshold must be greater than the upper UVLO threshold, and less than the upper OVLO threshold." sqref="F98">
      <formula1>F95+0.01</formula1>
      <formula2>F97</formula2>
    </dataValidation>
    <dataValidation type="decimal" operator="greaterThan" allowBlank="1" showInputMessage="1" showErrorMessage="1" prompt="Maximum Load Current Violation - Maximum Load Current must be greater than 0." sqref="F30">
      <formula1>0.0</formula1>
    </dataValidation>
    <dataValidation type="decimal" operator="greaterThan" allowBlank="1" showErrorMessage="1" sqref="F42 F44">
      <formula1>0.0</formula1>
    </dataValidation>
    <dataValidation type="decimal" allowBlank="1" showInputMessage="1" showErrorMessage="1" prompt="Ambient Temperature Violation - The Ambient Temperature must be between -40C and 125C" sqref="F32 F34">
      <formula1>'Device Parameters'!C4</formula1>
      <formula2>'Device Parameters'!E4</formula2>
    </dataValidation>
    <dataValidation type="decimal" allowBlank="1" showInputMessage="1" showErrorMessage="1" prompt="Ambient Temperature Violation - The Ambient Temperature must be between -40C and 125C" sqref="F35">
      <formula1>'Device Parameters'!C5</formula1>
      <formula2>'Device Parameters'!E5</formula2>
    </dataValidation>
    <dataValidation type="list" allowBlank="1" showErrorMessage="1" sqref="G22:G23">
      <formula1>yesno</formula1>
    </dataValidation>
    <dataValidation type="decimal" allowBlank="1" showInputMessage="1" showErrorMessage="1" prompt="Upper OVLO Threshold Violation - The Upper OVLO Threshold must be greater than the upper UVLO threshold, and less than 80V." sqref="F97">
      <formula1>F95+0.01</formula1>
      <formula2>80.0</formula2>
    </dataValidation>
  </dataValidations>
  <hyperlinks>
    <hyperlink r:id="rId2" ref="B2"/>
    <hyperlink r:id="rId3" ref="D17"/>
    <hyperlink r:id="rId4" ref="D18"/>
    <hyperlink r:id="rId5" ref="D19"/>
    <hyperlink r:id="rId6" ref="D20"/>
    <hyperlink r:id="rId7" ref="B43"/>
    <hyperlink r:id="rId8" ref="B57"/>
    <hyperlink r:id="rId9" ref="B78"/>
    <hyperlink r:id="rId10" ref="B101"/>
  </hyperlinks>
  <printOptions/>
  <pageMargins bottom="0.92" footer="0.0" header="0.0" left="0.17" right="0.17" top="0.55"/>
  <pageSetup scale="62" orientation="portrait"/>
  <drawing r:id="rId11"/>
  <legacyDrawing r:id="rId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4.29"/>
    <col customWidth="1" min="3" max="3" width="9.14"/>
    <col customWidth="1" min="4" max="11" width="8.71"/>
    <col customWidth="1" min="12" max="12" width="13.57"/>
    <col customWidth="1" min="13" max="26" width="8.71"/>
  </cols>
  <sheetData>
    <row r="1" ht="12.0" customHeight="1"/>
    <row r="2" ht="12.0" customHeight="1">
      <c r="A2" s="67"/>
      <c r="C2" s="67" t="s">
        <v>219</v>
      </c>
      <c r="D2" s="67" t="s">
        <v>220</v>
      </c>
      <c r="E2" s="67" t="s">
        <v>221</v>
      </c>
      <c r="F2" s="67" t="s">
        <v>183</v>
      </c>
    </row>
    <row r="3" ht="12.0" customHeight="1">
      <c r="A3" s="129" t="s">
        <v>222</v>
      </c>
      <c r="C3" s="67"/>
      <c r="D3" s="67"/>
      <c r="E3" s="67"/>
    </row>
    <row r="4" ht="12.0" customHeight="1">
      <c r="A4" s="129"/>
      <c r="B4" s="67" t="s">
        <v>223</v>
      </c>
      <c r="C4" s="43">
        <v>-40.0</v>
      </c>
      <c r="D4" s="43"/>
      <c r="E4" s="43">
        <v>125.0</v>
      </c>
    </row>
    <row r="5" ht="12.0" customHeight="1">
      <c r="B5" s="146" t="s">
        <v>224</v>
      </c>
      <c r="C5" s="43">
        <v>9.0</v>
      </c>
      <c r="D5" s="43"/>
      <c r="E5" s="43">
        <v>80.0</v>
      </c>
      <c r="F5" s="67" t="s">
        <v>40</v>
      </c>
      <c r="J5" s="146"/>
    </row>
    <row r="6" ht="16.5" customHeight="1">
      <c r="A6" s="129" t="s">
        <v>225</v>
      </c>
      <c r="B6" s="146"/>
      <c r="C6" s="43"/>
      <c r="D6" s="43"/>
      <c r="E6" s="43"/>
      <c r="J6" s="146"/>
    </row>
    <row r="7" ht="12.0" customHeight="1">
      <c r="B7" s="146"/>
      <c r="C7" s="43"/>
      <c r="D7" s="43"/>
      <c r="E7" s="43"/>
      <c r="J7" s="146"/>
    </row>
    <row r="8" ht="12.0" customHeight="1">
      <c r="B8" s="146"/>
      <c r="C8" s="43">
        <v>48.5</v>
      </c>
      <c r="D8" s="43">
        <v>55.0</v>
      </c>
      <c r="E8" s="43">
        <v>61.5</v>
      </c>
      <c r="J8" s="146"/>
    </row>
    <row r="9" ht="12.0" customHeight="1">
      <c r="B9" s="146" t="s">
        <v>226</v>
      </c>
      <c r="C9" s="43"/>
      <c r="D9" s="43">
        <v>23.0</v>
      </c>
      <c r="E9" s="43"/>
      <c r="F9" s="67" t="s">
        <v>227</v>
      </c>
      <c r="J9" s="146"/>
    </row>
    <row r="10" ht="12.0" customHeight="1">
      <c r="C10" s="43"/>
      <c r="D10" s="43"/>
      <c r="E10" s="43"/>
    </row>
    <row r="11" ht="12.0" customHeight="1">
      <c r="A11" s="129" t="s">
        <v>188</v>
      </c>
      <c r="C11" s="43"/>
      <c r="D11" s="43"/>
      <c r="E11" s="43"/>
    </row>
    <row r="12" ht="12.0" customHeight="1">
      <c r="B12" s="67" t="s">
        <v>228</v>
      </c>
      <c r="C12" s="43"/>
      <c r="D12" s="43"/>
      <c r="E12" s="43">
        <v>0.001</v>
      </c>
      <c r="F12" s="67" t="s">
        <v>40</v>
      </c>
    </row>
    <row r="13" ht="12.0" customHeight="1">
      <c r="B13" s="67" t="s">
        <v>229</v>
      </c>
      <c r="C13" s="43"/>
      <c r="D13" s="43"/>
      <c r="E13" s="43">
        <v>0.005</v>
      </c>
      <c r="F13" s="67" t="s">
        <v>40</v>
      </c>
      <c r="G13" s="67" t="s">
        <v>230</v>
      </c>
    </row>
    <row r="14" ht="12.0" customHeight="1">
      <c r="B14" s="67" t="s">
        <v>231</v>
      </c>
      <c r="C14" s="43"/>
      <c r="D14" s="43"/>
      <c r="E14" s="208">
        <v>125000.0</v>
      </c>
      <c r="F14" s="67"/>
    </row>
    <row r="15" ht="12.0" customHeight="1">
      <c r="B15" s="67"/>
      <c r="C15" s="43"/>
      <c r="D15" s="43"/>
      <c r="E15" s="208"/>
      <c r="F15" s="67"/>
    </row>
    <row r="16" ht="12.0" customHeight="1">
      <c r="B16" s="67" t="s">
        <v>232</v>
      </c>
      <c r="C16" s="209" t="s">
        <v>233</v>
      </c>
      <c r="D16" s="43"/>
      <c r="E16" s="43"/>
      <c r="F16" s="67"/>
      <c r="I16" s="67" t="s">
        <v>234</v>
      </c>
      <c r="J16" s="67" t="s">
        <v>235</v>
      </c>
      <c r="K16" s="67" t="s">
        <v>236</v>
      </c>
      <c r="L16" s="67" t="s">
        <v>237</v>
      </c>
      <c r="M16" s="67" t="s">
        <v>238</v>
      </c>
      <c r="N16" s="67" t="s">
        <v>239</v>
      </c>
      <c r="P16" s="67" t="s">
        <v>238</v>
      </c>
      <c r="Q16" s="67" t="s">
        <v>236</v>
      </c>
    </row>
    <row r="17" ht="12.0" customHeight="1">
      <c r="B17" s="67"/>
      <c r="C17" s="209" t="s">
        <v>240</v>
      </c>
      <c r="D17" s="43"/>
      <c r="E17" s="43"/>
      <c r="F17" s="67"/>
      <c r="J17" s="115">
        <v>12.0</v>
      </c>
      <c r="K17" s="115">
        <v>25.0</v>
      </c>
      <c r="L17" s="115">
        <f t="shared" ref="L17:L18" si="1">0.5</f>
        <v>0.5</v>
      </c>
      <c r="M17" s="210">
        <f t="shared" ref="M17:M18" si="2">1/(0.001*L17)*(K17*1000/$E$14+J17*$E$12)</f>
        <v>424</v>
      </c>
      <c r="N17" s="211">
        <f>K17*1000/$E$14/J17+$E$12</f>
        <v>0.01766666667</v>
      </c>
      <c r="P17" s="115">
        <v>82.0</v>
      </c>
      <c r="Q17" s="212">
        <f>E14*(P17*L17*0.001-J17*E12)</f>
        <v>3625</v>
      </c>
    </row>
    <row r="18" ht="12.0" customHeight="1">
      <c r="B18" s="67"/>
      <c r="C18" s="209" t="s">
        <v>241</v>
      </c>
      <c r="D18" s="43"/>
      <c r="E18" s="43"/>
      <c r="F18" s="67"/>
      <c r="J18" s="115">
        <v>12.0</v>
      </c>
      <c r="K18" s="115">
        <v>5.0</v>
      </c>
      <c r="L18" s="115">
        <f t="shared" si="1"/>
        <v>0.5</v>
      </c>
      <c r="M18" s="210">
        <f t="shared" si="2"/>
        <v>104</v>
      </c>
      <c r="N18" s="211">
        <f>K18*1000/$E$14/J18+$E$12*0.001</f>
        <v>0.003334333333</v>
      </c>
    </row>
    <row r="19" ht="12.0" customHeight="1">
      <c r="B19" s="67" t="s">
        <v>242</v>
      </c>
      <c r="E19" s="43"/>
      <c r="F19" s="67"/>
      <c r="I19" s="67" t="s">
        <v>243</v>
      </c>
      <c r="M19" s="210"/>
      <c r="N19" s="211"/>
    </row>
    <row r="20" ht="12.0" customHeight="1">
      <c r="C20" s="43"/>
      <c r="D20" s="43"/>
      <c r="E20" s="43"/>
    </row>
    <row r="21" ht="12.0" customHeight="1">
      <c r="A21" s="129" t="s">
        <v>244</v>
      </c>
      <c r="C21" s="43"/>
      <c r="D21" s="43"/>
      <c r="E21" s="43"/>
    </row>
    <row r="22" ht="12.0" customHeight="1">
      <c r="B22" s="146" t="s">
        <v>245</v>
      </c>
      <c r="C22" s="43">
        <v>3.76</v>
      </c>
      <c r="D22" s="43">
        <v>4.0</v>
      </c>
      <c r="E22" s="43">
        <v>4.16</v>
      </c>
      <c r="F22" s="67" t="s">
        <v>40</v>
      </c>
    </row>
    <row r="23" ht="12.0" customHeight="1">
      <c r="B23" s="146" t="s">
        <v>246</v>
      </c>
      <c r="C23" s="43">
        <v>-8.0</v>
      </c>
      <c r="D23" s="43">
        <v>-5.5</v>
      </c>
      <c r="E23" s="43">
        <v>-3.0</v>
      </c>
      <c r="F23" s="67" t="s">
        <v>227</v>
      </c>
    </row>
    <row r="24" ht="12.0" customHeight="1">
      <c r="B24" s="146" t="s">
        <v>247</v>
      </c>
      <c r="C24" s="43"/>
      <c r="D24" s="43"/>
      <c r="E24" s="43"/>
      <c r="F24" s="67"/>
    </row>
    <row r="25" ht="12.0" customHeight="1">
      <c r="B25" s="146" t="s">
        <v>248</v>
      </c>
      <c r="C25" s="43">
        <v>120.0</v>
      </c>
      <c r="D25" s="43">
        <v>85.0</v>
      </c>
      <c r="E25" s="43">
        <v>51.0</v>
      </c>
      <c r="F25" s="67" t="s">
        <v>227</v>
      </c>
    </row>
    <row r="26" ht="12.0" customHeight="1">
      <c r="B26" s="146" t="s">
        <v>249</v>
      </c>
      <c r="C26" s="43"/>
      <c r="D26" s="43">
        <f>SQRT(0.66^2+ ((120-90)/90)^2+ 0.1^2)</f>
        <v>0.7461307601</v>
      </c>
      <c r="E26" s="43"/>
      <c r="F26" s="67"/>
      <c r="G26" s="67" t="s">
        <v>250</v>
      </c>
    </row>
    <row r="27" ht="12.0" customHeight="1">
      <c r="B27" s="146" t="s">
        <v>251</v>
      </c>
      <c r="C27" s="43"/>
      <c r="D27" s="43">
        <v>0.5</v>
      </c>
      <c r="E27" s="43"/>
      <c r="F27" s="67"/>
      <c r="G27" s="67" t="s">
        <v>252</v>
      </c>
    </row>
    <row r="28" ht="12.0" customHeight="1">
      <c r="B28" s="146"/>
      <c r="C28" s="43"/>
      <c r="D28" s="43"/>
      <c r="E28" s="43"/>
    </row>
    <row r="29" ht="12.0" customHeight="1">
      <c r="A29" s="129" t="s">
        <v>253</v>
      </c>
      <c r="B29" s="146"/>
      <c r="C29" s="43"/>
      <c r="D29" s="43"/>
      <c r="E29" s="43"/>
    </row>
    <row r="30" ht="12.0" customHeight="1">
      <c r="B30" s="146" t="s">
        <v>254</v>
      </c>
      <c r="C30" s="43">
        <v>10.0</v>
      </c>
      <c r="D30" s="43">
        <v>16.0</v>
      </c>
      <c r="E30" s="43">
        <v>22.0</v>
      </c>
    </row>
    <row r="31" ht="12.0" customHeight="1">
      <c r="B31" s="146"/>
      <c r="C31" s="43"/>
      <c r="D31" s="43"/>
      <c r="E31" s="43"/>
    </row>
    <row r="32" ht="12.0" customHeight="1">
      <c r="A32" s="129" t="s">
        <v>255</v>
      </c>
      <c r="B32" s="146"/>
      <c r="C32" s="43"/>
      <c r="F32" s="43"/>
    </row>
    <row r="33" ht="12.0" customHeight="1">
      <c r="B33" s="146"/>
      <c r="C33" s="43"/>
      <c r="D33" s="43"/>
      <c r="E33" s="43"/>
      <c r="F33" s="43"/>
      <c r="G33" s="43"/>
      <c r="H33" s="43"/>
    </row>
    <row r="34" ht="12.0" customHeight="1">
      <c r="B34" s="146"/>
      <c r="C34" s="43"/>
      <c r="D34" s="43"/>
      <c r="E34" s="43"/>
      <c r="F34" s="43"/>
      <c r="G34" s="43"/>
      <c r="H34" s="43"/>
    </row>
    <row r="35" ht="12.0" customHeight="1">
      <c r="B35" s="146"/>
      <c r="C35" s="43"/>
      <c r="D35" s="43"/>
      <c r="E35" s="43"/>
      <c r="F35" s="43"/>
      <c r="G35" s="43"/>
      <c r="H35" s="43"/>
    </row>
    <row r="36" ht="12.0" customHeight="1">
      <c r="B36" s="146"/>
      <c r="C36" s="43"/>
      <c r="D36" s="43"/>
      <c r="E36" s="43"/>
      <c r="F36" s="43"/>
      <c r="G36" s="43"/>
      <c r="H36" s="43"/>
    </row>
    <row r="37" ht="12.0" customHeight="1">
      <c r="B37" s="146"/>
      <c r="C37" s="43"/>
      <c r="D37" s="43"/>
      <c r="E37" s="43"/>
    </row>
    <row r="38" ht="12.0" customHeight="1">
      <c r="A38" s="129" t="s">
        <v>256</v>
      </c>
      <c r="B38" s="146"/>
    </row>
    <row r="39" ht="12.0" customHeight="1">
      <c r="B39" s="146" t="s">
        <v>245</v>
      </c>
      <c r="C39" s="115">
        <v>3.76</v>
      </c>
      <c r="D39" s="115">
        <v>4.0</v>
      </c>
      <c r="E39" s="115">
        <v>4.16</v>
      </c>
    </row>
    <row r="40" ht="12.0" customHeight="1">
      <c r="B40" s="146" t="s">
        <v>257</v>
      </c>
      <c r="C40" s="115">
        <v>1.187</v>
      </c>
      <c r="D40" s="115">
        <v>1.25</v>
      </c>
      <c r="E40" s="115">
        <v>1.313</v>
      </c>
    </row>
    <row r="41" ht="12.0" customHeight="1">
      <c r="B41" s="146" t="s">
        <v>258</v>
      </c>
      <c r="D41" s="115">
        <v>0.3</v>
      </c>
    </row>
    <row r="42" ht="12.0" customHeight="1">
      <c r="B42" s="146" t="s">
        <v>259</v>
      </c>
      <c r="D42" s="115">
        <v>0.3</v>
      </c>
    </row>
    <row r="43" ht="12.0" customHeight="1">
      <c r="B43" s="146" t="s">
        <v>260</v>
      </c>
      <c r="C43" s="115">
        <v>3.0</v>
      </c>
      <c r="D43" s="115">
        <v>5.5</v>
      </c>
      <c r="E43" s="115">
        <v>8.0</v>
      </c>
    </row>
    <row r="44" ht="12.0" customHeight="1">
      <c r="B44" s="146" t="s">
        <v>261</v>
      </c>
      <c r="C44" s="115">
        <v>1.0</v>
      </c>
      <c r="D44" s="115">
        <v>1.5</v>
      </c>
      <c r="E44" s="115">
        <v>2.0</v>
      </c>
    </row>
    <row r="45" ht="12.0" customHeight="1">
      <c r="B45" s="146" t="s">
        <v>248</v>
      </c>
      <c r="C45" s="115">
        <v>51.0</v>
      </c>
      <c r="D45" s="115">
        <v>85.0</v>
      </c>
      <c r="E45" s="115">
        <v>120.0</v>
      </c>
    </row>
    <row r="46" ht="12.0" customHeight="1">
      <c r="B46" s="146" t="s">
        <v>262</v>
      </c>
      <c r="C46" s="115">
        <v>1.25</v>
      </c>
      <c r="D46" s="115">
        <v>2.5</v>
      </c>
      <c r="E46" s="115">
        <v>3.75</v>
      </c>
    </row>
    <row r="47" ht="12.0" customHeight="1"/>
    <row r="48" ht="12.0" customHeight="1">
      <c r="A48" s="129" t="s">
        <v>263</v>
      </c>
    </row>
    <row r="49" ht="12.0" customHeight="1">
      <c r="B49" s="146" t="s">
        <v>264</v>
      </c>
      <c r="D49" s="115">
        <v>60.0</v>
      </c>
      <c r="E49" s="115">
        <v>150.0</v>
      </c>
      <c r="F49" s="67" t="s">
        <v>265</v>
      </c>
      <c r="G49" s="115">
        <v>2.0</v>
      </c>
      <c r="H49" s="67" t="s">
        <v>266</v>
      </c>
    </row>
    <row r="50" ht="12.0" customHeight="1">
      <c r="A50" s="129" t="s">
        <v>267</v>
      </c>
    </row>
    <row r="51" ht="12.0" customHeight="1">
      <c r="B51" s="67" t="s">
        <v>268</v>
      </c>
      <c r="C51" s="115">
        <v>2.41</v>
      </c>
      <c r="D51" s="115">
        <v>2.46</v>
      </c>
      <c r="E51" s="115">
        <v>2.52</v>
      </c>
      <c r="F51" s="67" t="s">
        <v>40</v>
      </c>
    </row>
    <row r="52" ht="12.0" customHeight="1">
      <c r="B52" s="67" t="s">
        <v>269</v>
      </c>
      <c r="C52" s="115">
        <v>15.0</v>
      </c>
      <c r="D52" s="115">
        <v>20.0</v>
      </c>
      <c r="E52" s="115">
        <v>25.0</v>
      </c>
      <c r="F52" s="67" t="s">
        <v>227</v>
      </c>
    </row>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C32:E32"/>
    <mergeCell ref="F32:H3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71"/>
    <col customWidth="1" min="6" max="6" width="12.43"/>
    <col customWidth="1" min="7" max="7" width="8.71"/>
    <col customWidth="1" min="8" max="8" width="14.0"/>
    <col customWidth="1" min="9" max="9" width="12.71"/>
    <col customWidth="1" min="10" max="10" width="11.71"/>
    <col customWidth="1" min="11" max="26" width="8.71"/>
  </cols>
  <sheetData>
    <row r="1" ht="12.0" customHeight="1"/>
    <row r="2" ht="12.0" customHeight="1"/>
    <row r="3" ht="12.0" customHeight="1"/>
    <row r="4" ht="12.0" customHeight="1"/>
    <row r="5" ht="12.0" customHeight="1"/>
    <row r="6" ht="12.0" customHeight="1"/>
    <row r="7" ht="12.0" customHeight="1"/>
    <row r="8" ht="12.0" customHeight="1"/>
    <row r="9" ht="12.0" customHeight="1"/>
    <row r="10" ht="12.0" customHeight="1"/>
    <row r="11" ht="12.0" customHeight="1"/>
    <row r="12" ht="12.0" customHeight="1"/>
    <row r="13" ht="12.0" customHeight="1">
      <c r="A13" s="129" t="s">
        <v>225</v>
      </c>
    </row>
    <row r="14" ht="12.0" customHeight="1">
      <c r="E14" s="146"/>
    </row>
    <row r="15" ht="12.0" customHeight="1">
      <c r="D15" s="115" t="s">
        <v>270</v>
      </c>
      <c r="E15" s="115">
        <f>IF('Design Calculator'!$F$36="26 mV",'Device Parameters'!C7,'Device Parameters'!C8)</f>
        <v>48.5</v>
      </c>
      <c r="F15" s="209" t="s">
        <v>265</v>
      </c>
    </row>
    <row r="16" ht="12.0" customHeight="1">
      <c r="D16" s="115" t="s">
        <v>271</v>
      </c>
      <c r="E16" s="115">
        <f>IF('Design Calculator'!$F$36="26 mV",'Device Parameters'!D7,'Device Parameters'!D8)</f>
        <v>55</v>
      </c>
      <c r="F16" s="209" t="s">
        <v>265</v>
      </c>
    </row>
    <row r="17" ht="12.0" customHeight="1">
      <c r="D17" s="115" t="s">
        <v>272</v>
      </c>
      <c r="E17" s="115">
        <f>IF('Design Calculator'!$F$36="26 mV",'Device Parameters'!E7,'Device Parameters'!E8)</f>
        <v>61.5</v>
      </c>
      <c r="F17" s="209" t="s">
        <v>265</v>
      </c>
    </row>
    <row r="18" ht="12.0" customHeight="1">
      <c r="E18" s="146"/>
    </row>
    <row r="19" ht="12.0" customHeight="1">
      <c r="A19" s="129"/>
      <c r="E19" s="146"/>
    </row>
    <row r="20" ht="12.0" customHeight="1">
      <c r="E20" s="146" t="s">
        <v>273</v>
      </c>
      <c r="F20" s="115">
        <f>CLMIN_Threshold/('Design Calculator'!F30*1.01)</f>
        <v>6.002475248</v>
      </c>
    </row>
    <row r="21" ht="12.0" customHeight="1">
      <c r="E21" s="146" t="s">
        <v>274</v>
      </c>
      <c r="F21" s="67" t="str">
        <f>IF(Rs&gt;RsMAX,10,"NA")</f>
        <v>NA</v>
      </c>
    </row>
    <row r="22" ht="12.0" customHeight="1">
      <c r="E22" s="146" t="s">
        <v>275</v>
      </c>
      <c r="F22" s="115" t="str">
        <f>IF(Rs&gt;RsMAX,(((IOUTMAX*Rs)/CLMIN_Threshold)-1)*F21,"NA")</f>
        <v>NA</v>
      </c>
    </row>
    <row r="23" ht="12.0" customHeight="1">
      <c r="E23" s="146" t="s">
        <v>276</v>
      </c>
      <c r="F23" s="115">
        <f>IF(RsMAX&gt;Rs,Rs,IF('Design Calculator'!F38="Yes",IF(Rs&gt;RsMAX,Rs/(1+RDIV2/RDIV1),Rs),Rs))</f>
        <v>5</v>
      </c>
      <c r="H23" s="213"/>
    </row>
    <row r="24" ht="12.0" customHeight="1">
      <c r="E24" s="146" t="s">
        <v>277</v>
      </c>
      <c r="F24" s="214">
        <f>CLMIN_Threshold/RsEFF</f>
        <v>9.7</v>
      </c>
      <c r="G24" s="214"/>
    </row>
    <row r="25" ht="12.0" customHeight="1">
      <c r="E25" s="146" t="s">
        <v>278</v>
      </c>
      <c r="F25" s="115">
        <f>CLNOM_Threshold/RsEFF</f>
        <v>11</v>
      </c>
    </row>
    <row r="26" ht="12.0" customHeight="1">
      <c r="E26" s="146" t="s">
        <v>279</v>
      </c>
      <c r="F26" s="115">
        <f>CLMAX_Threshold/RsEFF</f>
        <v>12.3</v>
      </c>
    </row>
    <row r="27" ht="12.0" customHeight="1">
      <c r="E27" s="146" t="s">
        <v>280</v>
      </c>
      <c r="F27" s="115">
        <f>F26^2*'Design Calculator'!F39</f>
        <v>756.45</v>
      </c>
    </row>
    <row r="28" ht="12.0" customHeight="1"/>
    <row r="29" ht="12.0" customHeight="1"/>
    <row r="30" ht="12.0" customHeight="1">
      <c r="E30" s="146"/>
    </row>
    <row r="31" ht="12.0" customHeight="1">
      <c r="A31" s="129" t="s">
        <v>281</v>
      </c>
    </row>
    <row r="32" ht="12.0" customHeight="1">
      <c r="A32" s="67"/>
      <c r="F32" s="67" t="s">
        <v>282</v>
      </c>
      <c r="H32" s="67" t="s">
        <v>283</v>
      </c>
    </row>
    <row r="33" ht="12.0" customHeight="1">
      <c r="A33" s="67"/>
      <c r="E33" s="127" t="s">
        <v>284</v>
      </c>
      <c r="F33" s="112">
        <f>VINMAX*'Design Calculator'!F56</f>
        <v>4500</v>
      </c>
      <c r="G33" s="67" t="s">
        <v>59</v>
      </c>
      <c r="H33" s="115">
        <f>F33*(TJMAX-TJ)/(TJMAX-25)</f>
        <v>1856.16</v>
      </c>
    </row>
    <row r="34" ht="12.0" customHeight="1">
      <c r="A34" s="67"/>
      <c r="E34" s="127" t="s">
        <v>285</v>
      </c>
      <c r="F34" s="112">
        <f>VINMAX*'Design Calculator'!F57</f>
        <v>480</v>
      </c>
      <c r="G34" s="67" t="s">
        <v>59</v>
      </c>
      <c r="H34" s="115">
        <f>F34*(TJMAX-TJ)/(TJMAX-25)</f>
        <v>197.9904</v>
      </c>
    </row>
    <row r="35" ht="12.0" customHeight="1">
      <c r="A35" s="67"/>
      <c r="E35" s="127" t="s">
        <v>286</v>
      </c>
      <c r="F35" s="112">
        <f>VINMAX*'Design Calculator'!F58</f>
        <v>90</v>
      </c>
      <c r="G35" s="67" t="s">
        <v>59</v>
      </c>
      <c r="H35" s="115">
        <f>F35*(TJMAX-TJ)/(TJMAX-25)</f>
        <v>37.1232</v>
      </c>
    </row>
    <row r="36" ht="12.0" customHeight="1">
      <c r="A36" s="67"/>
      <c r="E36" s="127" t="s">
        <v>287</v>
      </c>
      <c r="F36" s="112">
        <f>VINMAX*'Design Calculator'!F59</f>
        <v>21</v>
      </c>
      <c r="G36" s="67" t="s">
        <v>59</v>
      </c>
      <c r="H36" s="115">
        <f>F36*(TJMAX-TJ)/(TJMAX-25)</f>
        <v>8.66208</v>
      </c>
    </row>
    <row r="37" ht="12.0" customHeight="1">
      <c r="A37" s="67"/>
      <c r="E37" s="146"/>
      <c r="F37" s="215"/>
      <c r="G37" s="67"/>
    </row>
    <row r="38" ht="12.0" customHeight="1">
      <c r="A38" s="67"/>
      <c r="E38" s="146" t="s">
        <v>288</v>
      </c>
      <c r="F38" s="215">
        <f>VINMAX*'Device Parameters'!E13/RsEFF/0.001</f>
        <v>30</v>
      </c>
      <c r="G38" s="67" t="s">
        <v>59</v>
      </c>
    </row>
    <row r="39" ht="12.0" customHeight="1">
      <c r="A39" s="67"/>
      <c r="D39" s="67"/>
      <c r="E39" s="146" t="s">
        <v>289</v>
      </c>
      <c r="F39" s="216">
        <f>'Design Calculator'!F64</f>
        <v>50</v>
      </c>
      <c r="G39" s="67" t="s">
        <v>59</v>
      </c>
      <c r="H39" s="67"/>
    </row>
    <row r="40" ht="12.0" customHeight="1">
      <c r="A40" s="67"/>
      <c r="D40" s="67"/>
      <c r="E40" s="146" t="s">
        <v>236</v>
      </c>
      <c r="F40" s="217">
        <f>'Device Parameters'!E14*RsEFF*0.001*F39/1000</f>
        <v>31.25</v>
      </c>
      <c r="G40" s="67" t="s">
        <v>290</v>
      </c>
      <c r="H40" s="67"/>
    </row>
    <row r="41" ht="12.0" customHeight="1">
      <c r="A41" s="67"/>
      <c r="D41" s="67"/>
      <c r="E41" s="146" t="s">
        <v>291</v>
      </c>
      <c r="F41" s="215">
        <f>RPWR</f>
        <v>31</v>
      </c>
      <c r="G41" s="67" t="s">
        <v>290</v>
      </c>
      <c r="H41" s="67"/>
    </row>
    <row r="42" ht="12.0" customHeight="1">
      <c r="A42" s="67"/>
      <c r="D42" s="67"/>
      <c r="E42" s="146" t="s">
        <v>292</v>
      </c>
      <c r="F42" s="218">
        <f>(1/RsEFF)*1000*(Equations!F41*1000/'Device Parameters'!E14)</f>
        <v>49.6</v>
      </c>
      <c r="G42" s="67" t="s">
        <v>59</v>
      </c>
      <c r="H42" s="67"/>
    </row>
    <row r="43" ht="12.0" customHeight="1">
      <c r="A43" s="67"/>
      <c r="D43" s="67"/>
      <c r="E43" s="146"/>
      <c r="F43" s="67"/>
      <c r="G43" s="67"/>
      <c r="H43" s="67"/>
    </row>
    <row r="44" ht="12.0" customHeight="1">
      <c r="A44" s="67"/>
      <c r="D44" s="67"/>
      <c r="E44" s="146"/>
      <c r="F44" s="67"/>
      <c r="G44" s="67"/>
      <c r="H44" s="67"/>
    </row>
    <row r="45" ht="12.0" customHeight="1">
      <c r="A45" s="67"/>
      <c r="D45" s="67"/>
      <c r="E45" s="146"/>
      <c r="F45" s="67"/>
      <c r="G45" s="67"/>
      <c r="H45" s="67"/>
    </row>
    <row r="46" ht="12.0" customHeight="1">
      <c r="D46" s="67"/>
      <c r="E46" s="146" t="s">
        <v>293</v>
      </c>
      <c r="F46" s="214">
        <f>F47*(1-0.24)</f>
        <v>37.696</v>
      </c>
      <c r="G46" s="67" t="s">
        <v>294</v>
      </c>
      <c r="H46" s="67"/>
    </row>
    <row r="47" ht="12.0" customHeight="1">
      <c r="D47" s="67"/>
      <c r="E47" s="146" t="s">
        <v>295</v>
      </c>
      <c r="F47" s="214">
        <f>F42</f>
        <v>49.6</v>
      </c>
      <c r="G47" s="67"/>
      <c r="H47" s="67"/>
    </row>
    <row r="48" ht="12.0" customHeight="1">
      <c r="D48" s="67"/>
      <c r="E48" s="146" t="s">
        <v>296</v>
      </c>
      <c r="F48" s="214">
        <f>F47*(1+0.24)</f>
        <v>61.504</v>
      </c>
      <c r="G48" s="67"/>
      <c r="H48" s="67"/>
    </row>
    <row r="49" ht="12.0" customHeight="1">
      <c r="D49" s="67"/>
      <c r="E49" s="146"/>
      <c r="F49" s="43"/>
      <c r="G49" s="67"/>
      <c r="H49" s="146"/>
      <c r="I49" s="43"/>
      <c r="K49" s="146"/>
      <c r="L49" s="43"/>
    </row>
    <row r="50" ht="12.0" customHeight="1">
      <c r="D50" s="67"/>
      <c r="E50" s="146"/>
      <c r="F50" s="43"/>
      <c r="G50" s="67"/>
      <c r="H50" s="146"/>
      <c r="I50" s="43"/>
      <c r="K50" s="146"/>
      <c r="L50" s="43"/>
    </row>
    <row r="51" ht="12.0" customHeight="1">
      <c r="A51" s="129" t="s">
        <v>297</v>
      </c>
      <c r="D51" s="67"/>
      <c r="E51" s="67"/>
      <c r="F51" s="67"/>
      <c r="G51" s="67"/>
      <c r="H51" s="67"/>
    </row>
    <row r="52" ht="12.0" customHeight="1">
      <c r="A52" s="129"/>
      <c r="D52" s="219" t="s">
        <v>298</v>
      </c>
      <c r="H52" s="67"/>
    </row>
    <row r="53" ht="12.0" customHeight="1">
      <c r="A53" s="129"/>
      <c r="D53" s="67"/>
      <c r="E53" s="146" t="s">
        <v>299</v>
      </c>
      <c r="F53" s="214">
        <f>Start_up!M2</f>
        <v>249.375</v>
      </c>
      <c r="G53" s="67" t="s">
        <v>112</v>
      </c>
      <c r="H53" s="67"/>
    </row>
    <row r="54" ht="12.0" customHeight="1">
      <c r="A54" s="129"/>
      <c r="D54" s="67"/>
      <c r="E54" s="146" t="s">
        <v>300</v>
      </c>
      <c r="F54" s="214">
        <f>'Device Parameters'!D27</f>
        <v>0.5</v>
      </c>
      <c r="G54" s="67"/>
      <c r="H54" s="67"/>
    </row>
    <row r="55" ht="12.0" customHeight="1">
      <c r="A55" s="129"/>
      <c r="D55" s="67"/>
      <c r="E55" s="146" t="s">
        <v>301</v>
      </c>
      <c r="F55" s="67">
        <f>F53*(1+F54)</f>
        <v>374.0625</v>
      </c>
      <c r="G55" s="67" t="s">
        <v>112</v>
      </c>
      <c r="H55" s="67"/>
    </row>
    <row r="56" ht="12.0" customHeight="1">
      <c r="A56" s="129"/>
      <c r="D56" s="67"/>
      <c r="E56" s="146" t="s">
        <v>115</v>
      </c>
      <c r="F56" s="67">
        <f>'Device Parameters'!D25/'Device Parameters'!D22*F55</f>
        <v>7948.828125</v>
      </c>
      <c r="G56" s="67" t="s">
        <v>116</v>
      </c>
      <c r="H56" s="67"/>
    </row>
    <row r="57" ht="12.0" customHeight="1">
      <c r="A57" s="129"/>
      <c r="D57" s="67"/>
      <c r="E57" s="146" t="s">
        <v>302</v>
      </c>
      <c r="F57" s="214">
        <f>'Design Calculator'!F76</f>
        <v>470</v>
      </c>
      <c r="G57" s="67" t="s">
        <v>116</v>
      </c>
      <c r="H57" s="67"/>
    </row>
    <row r="58" ht="12.0" customHeight="1">
      <c r="A58" s="129"/>
      <c r="D58" s="67"/>
      <c r="E58" s="146" t="s">
        <v>303</v>
      </c>
      <c r="F58" s="67">
        <f>'Device Parameters'!D22/'Device Parameters'!D25*F57</f>
        <v>22.11764706</v>
      </c>
      <c r="G58" s="67" t="s">
        <v>112</v>
      </c>
      <c r="H58" s="67"/>
    </row>
    <row r="59" ht="12.0" customHeight="1">
      <c r="A59" s="129"/>
      <c r="D59" s="67"/>
      <c r="E59" s="146" t="s">
        <v>304</v>
      </c>
      <c r="F59" s="67">
        <f>SOA!C26/F47</f>
        <v>1.973423254</v>
      </c>
      <c r="G59" s="67"/>
      <c r="H59" s="67"/>
    </row>
    <row r="60" ht="12.0" customHeight="1">
      <c r="A60" s="129"/>
      <c r="D60" s="219" t="s">
        <v>305</v>
      </c>
      <c r="H60" s="67"/>
    </row>
    <row r="61" ht="12.0" customHeight="1">
      <c r="A61" s="129"/>
      <c r="C61" s="67"/>
      <c r="D61" s="220"/>
      <c r="E61" s="146" t="s">
        <v>306</v>
      </c>
      <c r="F61" s="43">
        <f>'Design Calculator'!F82</f>
        <v>0.12</v>
      </c>
      <c r="G61" s="43" t="s">
        <v>122</v>
      </c>
      <c r="H61" s="67"/>
    </row>
    <row r="62" ht="12.0" customHeight="1">
      <c r="A62" s="129"/>
      <c r="C62" s="67"/>
      <c r="D62" s="220"/>
      <c r="E62" s="146" t="s">
        <v>125</v>
      </c>
      <c r="F62" s="43">
        <f>'Device Parameters'!D30/ss_rate</f>
        <v>133.3333333</v>
      </c>
      <c r="G62" s="67" t="s">
        <v>116</v>
      </c>
      <c r="H62" s="67"/>
    </row>
    <row r="63" ht="12.0" customHeight="1">
      <c r="A63" s="129"/>
      <c r="C63" s="67"/>
      <c r="D63" s="220"/>
      <c r="E63" s="146" t="s">
        <v>127</v>
      </c>
      <c r="F63" s="43">
        <f>'Design Calculator'!F84</f>
        <v>133</v>
      </c>
      <c r="G63" s="67" t="s">
        <v>116</v>
      </c>
      <c r="H63" s="67"/>
    </row>
    <row r="64" ht="12.0" customHeight="1">
      <c r="A64" s="129"/>
      <c r="C64" s="67"/>
      <c r="D64" s="220"/>
      <c r="E64" s="146" t="s">
        <v>307</v>
      </c>
      <c r="F64" s="43">
        <f>ss_rate*F62/F63</f>
        <v>0.1203007519</v>
      </c>
      <c r="G64" s="67" t="s">
        <v>122</v>
      </c>
      <c r="H64" s="67"/>
    </row>
    <row r="65" ht="12.0" customHeight="1">
      <c r="A65" s="129"/>
      <c r="C65" s="67"/>
      <c r="D65" s="220"/>
      <c r="E65" s="146" t="s">
        <v>308</v>
      </c>
      <c r="F65" s="43">
        <f>COUTMAX*F64/1000</f>
        <v>0.1684210526</v>
      </c>
      <c r="G65" s="43" t="s">
        <v>44</v>
      </c>
      <c r="H65" s="67"/>
    </row>
    <row r="66" ht="12.0" customHeight="1">
      <c r="A66" s="129"/>
      <c r="C66" s="67"/>
      <c r="D66" s="220"/>
      <c r="E66" s="146" t="s">
        <v>309</v>
      </c>
      <c r="F66" s="43">
        <f>VINMAX/F64</f>
        <v>249.375</v>
      </c>
      <c r="G66" s="43" t="s">
        <v>112</v>
      </c>
      <c r="H66" s="67"/>
    </row>
    <row r="67" ht="12.0" customHeight="1">
      <c r="A67" s="129"/>
      <c r="C67" s="67"/>
      <c r="D67" s="220"/>
      <c r="E67" s="146" t="s">
        <v>310</v>
      </c>
      <c r="F67" s="221">
        <f>Start_up!N5</f>
        <v>0.6239423077</v>
      </c>
      <c r="G67" s="43" t="s">
        <v>311</v>
      </c>
      <c r="H67" s="67"/>
    </row>
    <row r="68" ht="12.0" customHeight="1">
      <c r="A68" s="129"/>
      <c r="C68" s="67"/>
      <c r="D68" s="220"/>
      <c r="E68" s="146" t="s">
        <v>312</v>
      </c>
      <c r="F68" s="43">
        <f>Start_up!Q4</f>
        <v>5.052631579</v>
      </c>
      <c r="G68" s="43" t="s">
        <v>59</v>
      </c>
      <c r="H68" s="67"/>
    </row>
    <row r="69" ht="12.0" customHeight="1">
      <c r="A69" s="129"/>
      <c r="D69" s="219"/>
      <c r="E69" s="146" t="s">
        <v>313</v>
      </c>
      <c r="F69" s="221">
        <f>F67/F68*1000</f>
        <v>123.4885817</v>
      </c>
      <c r="G69" s="43" t="s">
        <v>112</v>
      </c>
      <c r="H69" s="67"/>
    </row>
    <row r="70" ht="12.0" customHeight="1">
      <c r="A70" s="129"/>
      <c r="D70" s="67"/>
      <c r="E70" s="146" t="s">
        <v>314</v>
      </c>
      <c r="F70" s="67">
        <f>SOA!H28</f>
        <v>8.015039261</v>
      </c>
      <c r="G70" s="43" t="s">
        <v>59</v>
      </c>
      <c r="H70" s="67"/>
    </row>
    <row r="71" ht="12.0" customHeight="1">
      <c r="A71" s="129"/>
      <c r="D71" s="67"/>
      <c r="E71" s="146" t="s">
        <v>315</v>
      </c>
      <c r="F71" s="67">
        <f>F70/F68</f>
        <v>1.586309854</v>
      </c>
      <c r="G71" s="67"/>
      <c r="H71" s="67"/>
    </row>
    <row r="72" ht="12.0" customHeight="1">
      <c r="A72" s="129"/>
      <c r="D72" s="67"/>
      <c r="E72" s="146"/>
      <c r="F72" s="67"/>
      <c r="G72" s="67"/>
      <c r="H72" s="67"/>
    </row>
    <row r="73" ht="12.0" customHeight="1">
      <c r="A73" s="129"/>
      <c r="D73" s="67"/>
      <c r="E73" s="146"/>
      <c r="F73" s="67">
        <v>1.0</v>
      </c>
      <c r="G73" s="43" t="s">
        <v>112</v>
      </c>
      <c r="H73" s="67"/>
    </row>
    <row r="74" ht="12.0" customHeight="1">
      <c r="A74" s="129"/>
      <c r="D74" s="220" t="s">
        <v>316</v>
      </c>
    </row>
    <row r="75" ht="12.0" customHeight="1">
      <c r="A75" s="129"/>
      <c r="D75" s="67"/>
      <c r="E75" s="146" t="s">
        <v>130</v>
      </c>
      <c r="F75" s="214">
        <f>'Design Calculator'!F87</f>
        <v>2.5</v>
      </c>
      <c r="G75" s="67"/>
      <c r="H75" s="67"/>
    </row>
    <row r="76" ht="12.0" customHeight="1">
      <c r="A76" s="129"/>
      <c r="D76" s="67"/>
      <c r="E76" s="146" t="s">
        <v>131</v>
      </c>
      <c r="F76" s="67">
        <f>'Device Parameters'!D25/'Device Parameters'!D22*F75</f>
        <v>53.125</v>
      </c>
      <c r="G76" s="67" t="s">
        <v>116</v>
      </c>
      <c r="H76" s="67"/>
    </row>
    <row r="77" ht="12.0" customHeight="1">
      <c r="A77" s="129"/>
      <c r="D77" s="67"/>
      <c r="E77" s="146" t="s">
        <v>317</v>
      </c>
      <c r="F77" s="214">
        <f>'Design Calculator'!F89</f>
        <v>56</v>
      </c>
      <c r="G77" s="67" t="s">
        <v>116</v>
      </c>
      <c r="H77" s="67"/>
    </row>
    <row r="78" ht="12.0" customHeight="1">
      <c r="A78" s="129"/>
      <c r="D78" s="67"/>
      <c r="E78" s="146" t="s">
        <v>133</v>
      </c>
      <c r="F78" s="67">
        <f>'Device Parameters'!D22/'Device Parameters'!D25*F77</f>
        <v>2.635294118</v>
      </c>
      <c r="G78" s="67" t="s">
        <v>112</v>
      </c>
      <c r="H78" s="67"/>
    </row>
    <row r="79" ht="12.0" customHeight="1">
      <c r="A79" s="129"/>
      <c r="D79" s="67"/>
      <c r="E79" s="146" t="s">
        <v>318</v>
      </c>
      <c r="F79" s="67">
        <f>SOA!C26</f>
        <v>97.88179342</v>
      </c>
      <c r="G79" s="67" t="s">
        <v>59</v>
      </c>
      <c r="H79" s="67"/>
    </row>
    <row r="80" ht="12.0" customHeight="1">
      <c r="A80" s="129"/>
      <c r="D80" s="67"/>
      <c r="E80" s="146" t="s">
        <v>315</v>
      </c>
      <c r="F80" s="217">
        <f>F79/F42</f>
        <v>1.973423254</v>
      </c>
      <c r="G80" s="67"/>
      <c r="H80" s="67"/>
    </row>
    <row r="81" ht="12.0" customHeight="1">
      <c r="A81" s="129"/>
      <c r="D81" s="67"/>
      <c r="E81" s="146"/>
      <c r="F81" s="67"/>
      <c r="G81" s="67"/>
      <c r="H81" s="67"/>
    </row>
    <row r="82" ht="12.0" customHeight="1">
      <c r="A82" s="129"/>
      <c r="D82" s="67"/>
      <c r="E82" s="146"/>
      <c r="F82" s="67"/>
      <c r="G82" s="67"/>
      <c r="H82" s="67"/>
    </row>
    <row r="83" ht="12.0" customHeight="1">
      <c r="A83" s="129"/>
      <c r="D83" s="67"/>
      <c r="E83" s="146"/>
      <c r="F83" s="67"/>
      <c r="G83" s="67"/>
      <c r="H83" s="67"/>
    </row>
    <row r="84" ht="12.0" customHeight="1">
      <c r="A84" s="129"/>
      <c r="D84" s="67"/>
      <c r="E84" s="146"/>
      <c r="F84" s="67"/>
      <c r="G84" s="67"/>
      <c r="H84" s="67"/>
    </row>
    <row r="85" ht="12.0" customHeight="1">
      <c r="A85" s="129"/>
      <c r="D85" s="67"/>
      <c r="E85" s="146"/>
      <c r="F85" s="67"/>
      <c r="G85" s="67"/>
      <c r="H85" s="67"/>
    </row>
    <row r="86" ht="12.0" customHeight="1">
      <c r="A86" s="129"/>
      <c r="D86" s="67"/>
      <c r="E86" s="146"/>
      <c r="F86" s="67"/>
      <c r="G86" s="67"/>
      <c r="H86" s="67"/>
    </row>
    <row r="87" ht="12.0" customHeight="1">
      <c r="A87" s="129"/>
      <c r="D87" s="67"/>
      <c r="E87" s="146"/>
      <c r="F87" s="67"/>
      <c r="G87" s="67"/>
      <c r="H87" s="67"/>
    </row>
    <row r="88" ht="12.0" customHeight="1">
      <c r="A88" s="129"/>
      <c r="D88" s="67"/>
      <c r="E88" s="146"/>
      <c r="F88" s="67"/>
      <c r="G88" s="67"/>
      <c r="H88" s="67"/>
    </row>
    <row r="89" ht="12.0" customHeight="1">
      <c r="A89" s="129"/>
      <c r="D89" s="67"/>
      <c r="E89" s="67"/>
      <c r="F89" s="67"/>
      <c r="G89" s="67"/>
      <c r="H89" s="67"/>
    </row>
    <row r="90" ht="12.0" customHeight="1">
      <c r="A90" s="67"/>
      <c r="D90" s="67"/>
      <c r="E90" s="146"/>
      <c r="F90" s="67"/>
      <c r="G90" s="67"/>
      <c r="H90" s="67"/>
    </row>
    <row r="91" ht="12.0" customHeight="1">
      <c r="A91" s="67"/>
      <c r="D91" s="67"/>
      <c r="E91" s="146"/>
      <c r="F91" s="67"/>
      <c r="G91" s="67"/>
      <c r="H91" s="67"/>
    </row>
    <row r="92" ht="12.0" customHeight="1">
      <c r="D92" s="67"/>
      <c r="E92" s="146"/>
      <c r="F92" s="67"/>
      <c r="G92" s="67"/>
      <c r="H92" s="67"/>
    </row>
    <row r="93" ht="12.0" customHeight="1">
      <c r="D93" s="67"/>
      <c r="E93" s="146"/>
      <c r="F93" s="67"/>
      <c r="G93" s="67"/>
      <c r="H93" s="67"/>
    </row>
    <row r="94" ht="12.0" customHeight="1">
      <c r="D94" s="67"/>
      <c r="E94" s="146"/>
      <c r="F94" s="67"/>
      <c r="G94" s="67"/>
      <c r="H94" s="67"/>
    </row>
    <row r="95" ht="12.0" customHeight="1">
      <c r="D95" s="67"/>
      <c r="E95" s="146"/>
      <c r="F95" s="67"/>
      <c r="G95" s="67"/>
      <c r="H95" s="67"/>
      <c r="J95" s="222"/>
      <c r="M95" s="222"/>
    </row>
    <row r="96" ht="12.0" customHeight="1">
      <c r="D96" s="67"/>
      <c r="E96" s="146"/>
      <c r="F96" s="67"/>
      <c r="G96" s="67"/>
      <c r="H96" s="67"/>
      <c r="J96" s="222"/>
      <c r="M96" s="222"/>
    </row>
    <row r="97" ht="12.0" customHeight="1">
      <c r="D97" s="67"/>
      <c r="E97" s="146"/>
      <c r="F97" s="67"/>
      <c r="G97" s="67" t="s">
        <v>319</v>
      </c>
      <c r="H97" s="67"/>
      <c r="J97" s="223"/>
      <c r="M97" s="223"/>
    </row>
    <row r="98" ht="12.0" customHeight="1">
      <c r="D98" s="67"/>
      <c r="E98" s="146"/>
      <c r="F98" s="67"/>
      <c r="G98" s="67"/>
      <c r="H98" s="67"/>
      <c r="J98" s="223"/>
      <c r="M98" s="223"/>
    </row>
    <row r="99" ht="12.0" customHeight="1">
      <c r="D99" s="67"/>
      <c r="E99" s="146"/>
      <c r="F99" s="67"/>
      <c r="G99" s="67"/>
      <c r="H99" s="67"/>
    </row>
    <row r="100" ht="12.0" customHeight="1">
      <c r="D100" s="67"/>
      <c r="E100" s="146"/>
      <c r="F100" s="67"/>
      <c r="G100" s="67"/>
      <c r="H100" s="67"/>
      <c r="I100" s="115" t="s">
        <v>320</v>
      </c>
      <c r="L100" s="115" t="s">
        <v>321</v>
      </c>
    </row>
    <row r="101" ht="12.0" customHeight="1">
      <c r="D101" s="67"/>
      <c r="E101" s="146"/>
      <c r="F101" s="67"/>
      <c r="G101" s="67" t="s">
        <v>44</v>
      </c>
      <c r="H101" s="67"/>
    </row>
    <row r="102" ht="12.0" customHeight="1">
      <c r="D102" s="67"/>
      <c r="E102" s="146"/>
      <c r="F102" s="67"/>
      <c r="G102" s="67" t="s">
        <v>322</v>
      </c>
      <c r="H102" s="67"/>
    </row>
    <row r="103" ht="12.0" customHeight="1">
      <c r="D103" s="67"/>
      <c r="E103" s="146"/>
      <c r="F103" s="67"/>
      <c r="G103" s="67" t="s">
        <v>116</v>
      </c>
      <c r="H103" s="67"/>
    </row>
    <row r="104" ht="12.0" customHeight="1">
      <c r="D104" s="67"/>
      <c r="E104" s="146"/>
      <c r="F104" s="67"/>
      <c r="G104" s="67"/>
      <c r="H104" s="67"/>
    </row>
    <row r="105" ht="12.0" customHeight="1">
      <c r="D105" s="67"/>
      <c r="E105" s="146"/>
      <c r="F105" s="67"/>
      <c r="G105" s="67"/>
      <c r="H105" s="67"/>
    </row>
    <row r="106" ht="12.0" customHeight="1">
      <c r="D106" s="67"/>
      <c r="E106" s="146" t="s">
        <v>323</v>
      </c>
      <c r="F106" s="214">
        <f>IF('Design Calculator'!F71="YES", Equations!F77, Equations!F57)*'Device Parameters'!C39*1000/'Device Parameters'!E43*0.001</f>
        <v>26.32</v>
      </c>
      <c r="G106" s="67" t="s">
        <v>112</v>
      </c>
      <c r="H106" s="67"/>
    </row>
    <row r="107" ht="12.0" customHeight="1">
      <c r="D107" s="67"/>
      <c r="E107" s="146" t="s">
        <v>324</v>
      </c>
      <c r="F107" s="214">
        <f>IF('Design Calculator'!F71="YES", Equations!F77, Equations!F57)*0.001*'Device Parameters'!D39*1000/'Device Parameters'!D43</f>
        <v>40.72727273</v>
      </c>
      <c r="G107" s="67" t="s">
        <v>112</v>
      </c>
      <c r="H107" s="67"/>
    </row>
    <row r="108" ht="12.0" customHeight="1">
      <c r="D108" s="67"/>
      <c r="E108" s="146" t="s">
        <v>325</v>
      </c>
      <c r="F108" s="214">
        <f>IF('Design Calculator'!F71="YES", Equations!F77, Equations!F57)*0.001*'Device Parameters'!E39*1000/'Device Parameters'!C43</f>
        <v>77.65333333</v>
      </c>
      <c r="G108" s="67" t="s">
        <v>112</v>
      </c>
      <c r="H108" s="67"/>
    </row>
    <row r="109" ht="12.0" customHeight="1">
      <c r="D109" s="67"/>
      <c r="E109" s="146" t="s">
        <v>326</v>
      </c>
      <c r="F109" s="67">
        <f>IF('Design Calculator'!F71="YES", Equations!F77, Equations!F57)*(H109+I109+J109)</f>
        <v>488.9439333</v>
      </c>
      <c r="G109" s="67" t="s">
        <v>112</v>
      </c>
      <c r="H109" s="67">
        <f>(('Device Parameters'!C39-'Device Parameters'!E40)/'Device Parameters'!E45)*7</f>
        <v>0.1427416667</v>
      </c>
      <c r="I109" s="115">
        <f>(('Device Parameters'!C39-'Device Parameters'!C40)/'Device Parameters'!D46)*8</f>
        <v>8.2336</v>
      </c>
      <c r="J109" s="115">
        <f>(('Device Parameters'!C40-'Device Parameters'!D41)/'Device Parameters'!D46)</f>
        <v>0.3548</v>
      </c>
    </row>
    <row r="110" ht="12.0" customHeight="1">
      <c r="D110" s="67"/>
      <c r="E110" s="146" t="s">
        <v>327</v>
      </c>
      <c r="F110" s="67">
        <f>IF('Design Calculator'!F71="YES", Equations!F77, Equations!F57)*(H110+I110+J110)</f>
        <v>526.7623529</v>
      </c>
      <c r="G110" s="67" t="s">
        <v>112</v>
      </c>
      <c r="H110" s="67">
        <f>(('Device Parameters'!D39-'Device Parameters'!D40)/'Device Parameters'!D45)*7</f>
        <v>0.2264705882</v>
      </c>
      <c r="I110" s="115">
        <f>(('Device Parameters'!D39-'Device Parameters'!D40)/'Device Parameters'!D46)*8</f>
        <v>8.8</v>
      </c>
      <c r="J110" s="115">
        <f>(('Device Parameters'!D40-'Device Parameters'!D41)/'Device Parameters'!D46)</f>
        <v>0.38</v>
      </c>
    </row>
    <row r="111" ht="12.0" customHeight="1">
      <c r="D111" s="67"/>
      <c r="E111" s="146" t="s">
        <v>328</v>
      </c>
      <c r="F111" s="67">
        <f>IF('Design Calculator'!F71="YES", Equations!F77, Equations!F57)*(H111+I111+J111)</f>
        <v>555.7248941</v>
      </c>
      <c r="G111" s="67" t="s">
        <v>112</v>
      </c>
      <c r="H111" s="67">
        <f>(('Device Parameters'!E39-'Device Parameters'!C40)/'Device Parameters'!C45)*7</f>
        <v>0.4080588235</v>
      </c>
      <c r="I111" s="115">
        <f>(('Device Parameters'!E39-'Device Parameters'!E40)/'Device Parameters'!D46)*8</f>
        <v>9.1104</v>
      </c>
      <c r="J111" s="115">
        <f>(('Device Parameters'!E40-'Device Parameters'!D41)/'Device Parameters'!D46)</f>
        <v>0.4052</v>
      </c>
    </row>
    <row r="112" ht="12.0" customHeight="1">
      <c r="D112" s="67"/>
      <c r="E112" s="146" t="s">
        <v>329</v>
      </c>
      <c r="F112" s="67" t="str">
        <f>(1+'Design Calculator'!#REF!/'Design Calculator'!#REF!)*'Device Parameters'!C51</f>
        <v>#ERROR!</v>
      </c>
      <c r="G112" s="67"/>
      <c r="H112" s="67"/>
    </row>
    <row r="113" ht="12.0" customHeight="1">
      <c r="D113" s="67"/>
      <c r="E113" s="146" t="s">
        <v>330</v>
      </c>
      <c r="F113" s="67" t="str">
        <f>(1+'Design Calculator'!#REF!/'Design Calculator'!#REF!)*'Device Parameters'!D51</f>
        <v>#ERROR!</v>
      </c>
      <c r="G113" s="67"/>
      <c r="H113" s="67"/>
    </row>
    <row r="114" ht="12.0" customHeight="1">
      <c r="D114" s="67"/>
      <c r="E114" s="146" t="s">
        <v>331</v>
      </c>
      <c r="F114" s="67" t="str">
        <f>(1+'Design Calculator'!#REF!/'Design Calculator'!#REF!)*'Device Parameters'!E51</f>
        <v>#ERROR!</v>
      </c>
      <c r="G114" s="67"/>
      <c r="H114" s="67"/>
    </row>
    <row r="115" ht="12.0" customHeight="1">
      <c r="D115" s="67"/>
      <c r="E115" s="146" t="s">
        <v>332</v>
      </c>
      <c r="F115" s="67" t="str">
        <f>('Design Calculator'!#REF!*'Device Parameters'!C52)</f>
        <v>#ERROR!</v>
      </c>
      <c r="G115" s="67"/>
      <c r="H115" s="67"/>
    </row>
    <row r="116" ht="12.0" customHeight="1">
      <c r="D116" s="67"/>
      <c r="E116" s="146" t="s">
        <v>333</v>
      </c>
      <c r="F116" s="67" t="str">
        <f>('Design Calculator'!#REF!*'Device Parameters'!$D$52)</f>
        <v>#ERROR!</v>
      </c>
      <c r="G116" s="67"/>
      <c r="H116" s="67"/>
    </row>
    <row r="117" ht="12.0" customHeight="1">
      <c r="D117" s="67"/>
      <c r="E117" s="146" t="s">
        <v>334</v>
      </c>
      <c r="F117" s="67" t="str">
        <f>('Design Calculator'!#REF!*'Device Parameters'!$E$52)</f>
        <v>#ERROR!</v>
      </c>
      <c r="G117" s="67"/>
      <c r="H117" s="67"/>
    </row>
    <row r="118" ht="12.0" customHeight="1">
      <c r="D118" s="67"/>
      <c r="E118" s="146"/>
      <c r="F118" s="67"/>
      <c r="G118" s="67"/>
      <c r="H118" s="67"/>
    </row>
    <row r="119" ht="12.0" customHeight="1">
      <c r="D119" s="67"/>
      <c r="E119" s="146"/>
      <c r="F119" s="67"/>
      <c r="G119" s="67"/>
      <c r="H119" s="67"/>
    </row>
    <row r="120" ht="12.0" customHeight="1">
      <c r="D120" s="129"/>
      <c r="E120" s="67"/>
      <c r="F120" s="67"/>
      <c r="G120" s="67"/>
      <c r="H120" s="67"/>
      <c r="I120" s="115" t="s">
        <v>335</v>
      </c>
      <c r="L120" s="115" t="s">
        <v>336</v>
      </c>
    </row>
    <row r="121" ht="12.0" customHeight="1">
      <c r="D121" s="129"/>
      <c r="E121" s="67"/>
      <c r="F121" s="67"/>
      <c r="G121" s="67"/>
      <c r="H121" s="67"/>
      <c r="I121" s="115" t="s">
        <v>337</v>
      </c>
      <c r="L121" s="115" t="s">
        <v>338</v>
      </c>
    </row>
    <row r="122" ht="12.0" customHeight="1">
      <c r="D122" s="129"/>
      <c r="E122" s="67"/>
      <c r="F122" s="67"/>
      <c r="G122" s="67"/>
      <c r="H122" s="67"/>
      <c r="I122" s="115" t="s">
        <v>339</v>
      </c>
      <c r="L122" s="115" t="s">
        <v>340</v>
      </c>
    </row>
    <row r="123" ht="12.0" customHeight="1">
      <c r="D123" s="67"/>
      <c r="E123" s="67"/>
      <c r="F123" s="67"/>
      <c r="G123" s="67"/>
      <c r="H123" s="67"/>
    </row>
    <row r="124" ht="12.0" customHeight="1">
      <c r="D124" s="67"/>
      <c r="E124" s="67"/>
      <c r="F124" s="67"/>
      <c r="G124" s="67"/>
      <c r="H124" s="67"/>
    </row>
    <row r="125" ht="12.0" customHeight="1">
      <c r="D125" s="67"/>
      <c r="E125" s="146" t="s">
        <v>141</v>
      </c>
      <c r="F125" s="67"/>
      <c r="G125" s="67"/>
      <c r="H125" s="67"/>
    </row>
    <row r="126" ht="12.0" customHeight="1">
      <c r="D126" s="67"/>
      <c r="E126" s="146" t="s">
        <v>140</v>
      </c>
      <c r="F126" s="67"/>
      <c r="G126" s="67"/>
      <c r="H126" s="67"/>
    </row>
    <row r="127" ht="12.0" customHeight="1">
      <c r="D127" s="67"/>
      <c r="E127" s="146"/>
      <c r="F127" s="43" t="s">
        <v>44</v>
      </c>
      <c r="G127" s="43" t="s">
        <v>341</v>
      </c>
      <c r="H127" s="43" t="s">
        <v>342</v>
      </c>
      <c r="I127" s="43" t="s">
        <v>343</v>
      </c>
    </row>
    <row r="128" ht="12.0" customHeight="1">
      <c r="D128" s="67"/>
      <c r="E128" s="146" t="s">
        <v>344</v>
      </c>
      <c r="F128" s="224">
        <f>('Design Calculator'!F95-'Design Calculator'!F96)*1000/21</f>
        <v>47.61904762</v>
      </c>
      <c r="G128" s="224">
        <f>('Design Calculator'!F95-'Design Calculator'!F96)*1000/21</f>
        <v>47.61904762</v>
      </c>
      <c r="H128" s="67"/>
    </row>
    <row r="129" ht="12.0" customHeight="1">
      <c r="D129" s="67"/>
      <c r="E129" s="146" t="s">
        <v>345</v>
      </c>
      <c r="F129" s="224">
        <f>2.5*F128/('Design Calculator'!F96-2.5)-F130</f>
        <v>12.82051282</v>
      </c>
      <c r="G129" s="224">
        <f>2.5*G128/('Design Calculator'!F96-2.5)</f>
        <v>18.31501832</v>
      </c>
      <c r="H129" s="67"/>
    </row>
    <row r="130" ht="12.0" customHeight="1">
      <c r="D130" s="67"/>
      <c r="E130" s="146" t="s">
        <v>346</v>
      </c>
      <c r="F130" s="224">
        <f>(F128*'Design Calculator'!F96*2.5)/('Design Calculator'!F97*('Design Calculator'!F96-2.5))</f>
        <v>5.494505495</v>
      </c>
      <c r="G130" s="224">
        <f>('Design Calculator'!F97-'Design Calculator'!F98)*1000/21</f>
        <v>47.61904762</v>
      </c>
      <c r="H130" s="67"/>
    </row>
    <row r="131" ht="12.0" customHeight="1">
      <c r="D131" s="67"/>
      <c r="E131" s="146" t="s">
        <v>347</v>
      </c>
      <c r="F131" s="43"/>
      <c r="G131" s="224">
        <f>2.5*G130/('Design Calculator'!F97-2.5)</f>
        <v>4.329004329</v>
      </c>
      <c r="H131" s="67"/>
    </row>
    <row r="132" ht="12.0" customHeight="1">
      <c r="B132" s="225"/>
      <c r="C132" s="226"/>
      <c r="D132" s="226"/>
      <c r="E132" s="227" t="s">
        <v>348</v>
      </c>
      <c r="F132" s="224">
        <f>2.45+('Design Calculator'!F$103*((2.45/('Design Calculator'!F$104+'Design Calculator'!F$105))+(12/1000)))</f>
        <v>4.884244961</v>
      </c>
      <c r="G132" s="224">
        <f>2.45+('Design Calculator'!F$103*((2.45/'Design Calculator'!F$104)+(12/1000)))</f>
        <v>10.58598228</v>
      </c>
      <c r="H132" s="67"/>
    </row>
    <row r="133" ht="12.0" customHeight="1">
      <c r="B133" s="228"/>
      <c r="C133" s="67"/>
      <c r="D133" s="67"/>
      <c r="E133" s="229" t="s">
        <v>349</v>
      </c>
      <c r="F133" s="224">
        <f>2.5+('Design Calculator'!F$103*((2.5/('Design Calculator'!F$104+'Design Calculator'!F$105))+(21/1000)))</f>
        <v>5.410296899</v>
      </c>
      <c r="G133" s="224">
        <f>2.5+('Design Calculator'!F$103*((2.5/'Design Calculator'!F$104)+(21/1000)))</f>
        <v>11.2283962</v>
      </c>
      <c r="H133" s="67"/>
    </row>
    <row r="134" ht="12.0" customHeight="1">
      <c r="B134" s="230"/>
      <c r="C134" s="231"/>
      <c r="D134" s="231"/>
      <c r="E134" s="232" t="s">
        <v>350</v>
      </c>
      <c r="F134" s="224">
        <f>2.55+('Design Calculator'!F$103*((2.55/('Design Calculator'!F$104+'Design Calculator'!F$105))+(30/1000)))</f>
        <v>5.936348837</v>
      </c>
      <c r="G134" s="224">
        <f>2.55+('Design Calculator'!F$103*((2.55/'Design Calculator'!F$104)+(30/1000)))</f>
        <v>11.87081013</v>
      </c>
      <c r="H134" s="67"/>
    </row>
    <row r="135" ht="12.0" customHeight="1">
      <c r="D135" s="67"/>
      <c r="E135" s="146" t="s">
        <v>351</v>
      </c>
      <c r="F135" s="224">
        <f>2.45*('Design Calculator'!F$103+'Design Calculator'!F$104+'Design Calculator'!F$105)/('Design Calculator'!F$104+'Design Calculator'!F$105)</f>
        <v>4.299844961</v>
      </c>
      <c r="G135" s="224">
        <f>2.45*('Design Calculator'!F$103+'Design Calculator'!F$104)/'Design Calculator'!F$104</f>
        <v>10.00158228</v>
      </c>
      <c r="H135" s="67"/>
    </row>
    <row r="136" ht="12.0" customHeight="1">
      <c r="D136" s="67"/>
      <c r="E136" s="146" t="s">
        <v>352</v>
      </c>
      <c r="F136" s="224">
        <f>2.5*('Design Calculator'!F$103+'Design Calculator'!F$104+'Design Calculator'!F$105)/('Design Calculator'!F$104+'Design Calculator'!F$105)</f>
        <v>4.387596899</v>
      </c>
      <c r="G136" s="224">
        <f>2.5*('Design Calculator'!F$103+'Design Calculator'!F$104)/'Design Calculator'!F$104</f>
        <v>10.2056962</v>
      </c>
      <c r="H136" s="67"/>
    </row>
    <row r="137" ht="12.0" customHeight="1">
      <c r="D137" s="67"/>
      <c r="E137" s="146" t="s">
        <v>353</v>
      </c>
      <c r="F137" s="224">
        <f>2.55*('Design Calculator'!F$103+'Design Calculator'!F$104+'Design Calculator'!F$105)/('Design Calculator'!F$104+'Design Calculator'!F$105)</f>
        <v>4.475348837</v>
      </c>
      <c r="G137" s="224">
        <f>2.55*('Design Calculator'!F$103+'Design Calculator'!F$104)/'Design Calculator'!F$104</f>
        <v>10.40981013</v>
      </c>
      <c r="H137" s="67"/>
    </row>
    <row r="138" ht="12.0" customHeight="1">
      <c r="B138" s="225"/>
      <c r="C138" s="226"/>
      <c r="D138" s="226"/>
      <c r="E138" s="227" t="s">
        <v>354</v>
      </c>
      <c r="F138" s="224">
        <f>2.45*('Design Calculator'!F$103+'Design Calculator'!F$104+'Design Calculator'!F$105)/'Design Calculator'!F$105</f>
        <v>5.69486653</v>
      </c>
      <c r="G138" s="224">
        <f>2.45*('Design Calculator'!F$105+'Design Calculator'!F$106)/'Design Calculator'!F$106</f>
        <v>30.06921296</v>
      </c>
      <c r="H138" s="67"/>
    </row>
    <row r="139" ht="12.0" customHeight="1">
      <c r="B139" s="228"/>
      <c r="C139" s="67"/>
      <c r="D139" s="67"/>
      <c r="E139" s="229" t="s">
        <v>355</v>
      </c>
      <c r="F139" s="224">
        <f>2.5*('Design Calculator'!F$103+'Design Calculator'!F$104+'Design Calculator'!F$105)/'Design Calculator'!F$105</f>
        <v>5.811088296</v>
      </c>
      <c r="G139" s="224">
        <f>2.5*('Design Calculator'!F$105+'Design Calculator'!F$106)/'Design Calculator'!F$106</f>
        <v>30.68287037</v>
      </c>
      <c r="H139" s="67"/>
    </row>
    <row r="140" ht="12.0" customHeight="1">
      <c r="B140" s="230"/>
      <c r="C140" s="231"/>
      <c r="D140" s="231"/>
      <c r="E140" s="232" t="s">
        <v>356</v>
      </c>
      <c r="F140" s="224">
        <f>2.55*('Design Calculator'!F$103+'Design Calculator'!F$104+'Design Calculator'!F$105)/'Design Calculator'!F$105</f>
        <v>5.927310062</v>
      </c>
      <c r="G140" s="224">
        <f>2.55*('Design Calculator'!F$105+'Design Calculator'!F$106)/'Design Calculator'!F$106</f>
        <v>31.29652778</v>
      </c>
      <c r="H140" s="67"/>
    </row>
    <row r="141" ht="12.0" customHeight="1">
      <c r="D141" s="67"/>
      <c r="E141" s="146" t="s">
        <v>357</v>
      </c>
      <c r="F141" s="224">
        <f>2.45+(('Design Calculator'!F$103+'Design Calculator'!F$104)*((2.45/'Design Calculator'!F$105)-(30/1000)))</f>
        <v>3.75986653</v>
      </c>
      <c r="G141" s="224">
        <f>2.45+('Design Calculator'!F$105*((2.45/'Design Calculator'!F$106)-(30/1000)))</f>
        <v>28.60821296</v>
      </c>
      <c r="H141" s="67"/>
    </row>
    <row r="142" ht="12.0" customHeight="1">
      <c r="D142" s="67"/>
      <c r="E142" s="146" t="s">
        <v>358</v>
      </c>
      <c r="F142" s="224">
        <f>2.5+(('Design Calculator'!F$103+'Design Calculator'!F$104)*((2.5/'Design Calculator'!F$105)-(21/1000)))</f>
        <v>4.456588296</v>
      </c>
      <c r="G142" s="224">
        <f>2.5+('Design Calculator'!F$105*((2.5/'Design Calculator'!F$106)-(21/1000)))</f>
        <v>29.66017037</v>
      </c>
      <c r="H142" s="67"/>
    </row>
    <row r="143" ht="12.0" customHeight="1">
      <c r="D143" s="67"/>
      <c r="E143" s="146" t="s">
        <v>359</v>
      </c>
      <c r="F143" s="224">
        <f>2.55+(('Design Calculator'!F$103+'Design Calculator'!F$104)*((2.55/'Design Calculator'!F$105)-(12/1000)))</f>
        <v>5.153310062</v>
      </c>
      <c r="G143" s="224">
        <f>2.55+('Design Calculator'!F$105*((2.55/'Design Calculator'!F$106)-(12/1000)))</f>
        <v>30.71212778</v>
      </c>
      <c r="H143" s="67"/>
    </row>
    <row r="144" ht="12.0" customHeight="1">
      <c r="D144" s="67"/>
      <c r="E144" s="67"/>
      <c r="F144" s="67"/>
      <c r="G144" s="67"/>
      <c r="H144" s="67"/>
    </row>
    <row r="145" ht="12.0" customHeight="1">
      <c r="D145" s="67"/>
      <c r="E145" s="67"/>
      <c r="F145" s="67"/>
      <c r="G145" s="67"/>
      <c r="H145" s="67"/>
    </row>
    <row r="146" ht="12.0" customHeight="1">
      <c r="D146" s="67"/>
      <c r="E146" s="67"/>
      <c r="F146" s="67"/>
      <c r="G146" s="67"/>
      <c r="H146" s="67"/>
    </row>
    <row r="147" ht="12.0" customHeight="1">
      <c r="D147" s="67"/>
      <c r="E147" s="67"/>
      <c r="F147" s="67"/>
      <c r="G147" s="67"/>
      <c r="H147" s="67"/>
    </row>
    <row r="148" ht="12.0" customHeight="1">
      <c r="D148" s="67"/>
      <c r="E148" s="67"/>
      <c r="F148" s="67"/>
      <c r="G148" s="67"/>
      <c r="H148" s="67"/>
    </row>
    <row r="149" ht="12.0" customHeight="1">
      <c r="D149" s="67"/>
      <c r="E149" s="67"/>
      <c r="F149" s="67"/>
      <c r="G149" s="67"/>
      <c r="H149" s="67"/>
    </row>
    <row r="150" ht="12.0" customHeight="1">
      <c r="D150" s="67"/>
      <c r="E150" s="67"/>
      <c r="F150" s="67"/>
      <c r="G150" s="67"/>
      <c r="H150" s="67"/>
    </row>
    <row r="151" ht="12.0" customHeight="1">
      <c r="D151" s="67"/>
      <c r="E151" s="146" t="s">
        <v>360</v>
      </c>
      <c r="F151" s="67" t="str">
        <f>'Design Calculator'!#REF!</f>
        <v>#ERROR!</v>
      </c>
      <c r="G151" s="67" t="s">
        <v>112</v>
      </c>
      <c r="H151" s="67"/>
    </row>
    <row r="152" ht="12.0" customHeight="1">
      <c r="D152" s="67"/>
      <c r="E152" s="146" t="s">
        <v>361</v>
      </c>
      <c r="F152" s="67">
        <f>'Design Calculator'!F28</f>
        <v>24</v>
      </c>
      <c r="G152" s="67" t="s">
        <v>40</v>
      </c>
      <c r="H152" s="67"/>
    </row>
    <row r="153" ht="12.0" customHeight="1">
      <c r="D153" s="67"/>
      <c r="E153" s="146" t="s">
        <v>362</v>
      </c>
      <c r="F153" s="67" t="str">
        <f>22/F152*F151</f>
        <v>#ERROR!</v>
      </c>
      <c r="G153" s="67" t="s">
        <v>116</v>
      </c>
      <c r="H153" s="67"/>
    </row>
    <row r="154" ht="12.0" customHeight="1">
      <c r="D154" s="67"/>
      <c r="E154" s="67"/>
      <c r="F154" s="67"/>
      <c r="G154" s="67"/>
      <c r="H154" s="67"/>
    </row>
    <row r="155" ht="12.0" customHeight="1">
      <c r="D155" s="67"/>
      <c r="E155" s="67"/>
      <c r="F155" s="67"/>
      <c r="G155" s="67"/>
      <c r="H155" s="67"/>
    </row>
    <row r="156" ht="12.0" customHeight="1">
      <c r="D156" s="67"/>
      <c r="E156" s="67"/>
      <c r="F156" s="67"/>
      <c r="G156" s="67"/>
      <c r="H156" s="67"/>
    </row>
    <row r="157" ht="12.0" customHeight="1">
      <c r="D157" s="67"/>
      <c r="E157" s="67"/>
      <c r="F157" s="67"/>
      <c r="G157" s="67"/>
      <c r="H157" s="67"/>
    </row>
    <row r="158" ht="12.0" customHeight="1">
      <c r="D158" s="67"/>
      <c r="E158" s="67"/>
      <c r="F158" s="67"/>
      <c r="G158" s="67"/>
      <c r="H158" s="67"/>
    </row>
    <row r="159" ht="12.0" customHeight="1">
      <c r="D159" s="67"/>
      <c r="E159" s="67"/>
      <c r="F159" s="67"/>
      <c r="G159" s="67"/>
      <c r="H159" s="67"/>
    </row>
    <row r="160" ht="12.0" customHeight="1">
      <c r="D160" s="67"/>
      <c r="E160" s="67"/>
      <c r="F160" s="67"/>
      <c r="G160" s="67"/>
      <c r="H160" s="67"/>
    </row>
    <row r="161" ht="12.0" customHeight="1">
      <c r="D161" s="67"/>
      <c r="E161" s="67"/>
      <c r="F161" s="67"/>
      <c r="G161" s="67"/>
      <c r="H161" s="67"/>
    </row>
    <row r="162" ht="12.0" customHeight="1">
      <c r="D162" s="67"/>
      <c r="E162" s="67"/>
      <c r="F162" s="67"/>
      <c r="G162" s="67"/>
      <c r="H162" s="67"/>
    </row>
    <row r="163" ht="12.0" customHeight="1">
      <c r="D163" s="67"/>
      <c r="E163" s="67"/>
      <c r="F163" s="67"/>
      <c r="G163" s="67"/>
      <c r="H163" s="67"/>
    </row>
    <row r="164" ht="12.0" customHeight="1">
      <c r="D164" s="67"/>
      <c r="E164" s="67"/>
      <c r="F164" s="67"/>
      <c r="G164" s="67"/>
      <c r="H164" s="67"/>
    </row>
    <row r="165" ht="12.0" customHeight="1">
      <c r="D165" s="67"/>
      <c r="E165" s="67"/>
      <c r="F165" s="67"/>
      <c r="G165" s="67"/>
      <c r="H165" s="67"/>
    </row>
    <row r="166" ht="12.0" customHeight="1">
      <c r="D166" s="67"/>
      <c r="E166" s="67"/>
      <c r="F166" s="67"/>
      <c r="G166" s="67"/>
      <c r="H166" s="67"/>
    </row>
    <row r="167" ht="12.0" customHeight="1">
      <c r="D167" s="67"/>
      <c r="E167" s="67"/>
      <c r="F167" s="67"/>
      <c r="G167" s="67"/>
      <c r="H167" s="67"/>
    </row>
    <row r="168" ht="12.0" customHeight="1">
      <c r="D168" s="67"/>
      <c r="E168" s="67"/>
      <c r="F168" s="67"/>
      <c r="G168" s="67"/>
      <c r="H168" s="67"/>
    </row>
    <row r="169" ht="12.0" customHeight="1">
      <c r="D169" s="67"/>
      <c r="E169" s="67"/>
      <c r="F169" s="67"/>
      <c r="G169" s="67"/>
      <c r="H169" s="67"/>
    </row>
    <row r="170" ht="12.0" customHeight="1">
      <c r="D170" s="67"/>
      <c r="E170" s="67"/>
      <c r="F170" s="67"/>
      <c r="G170" s="67"/>
      <c r="H170" s="67"/>
    </row>
    <row r="171" ht="12.0" customHeight="1">
      <c r="D171" s="67"/>
      <c r="E171" s="67"/>
      <c r="F171" s="67"/>
      <c r="G171" s="67"/>
      <c r="H171" s="67"/>
    </row>
    <row r="172" ht="12.0" customHeight="1"/>
    <row r="173" ht="12.0" customHeight="1"/>
    <row r="174" ht="12.0" customHeight="1">
      <c r="C174" s="129" t="s">
        <v>363</v>
      </c>
    </row>
    <row r="175" ht="12.0" customHeight="1">
      <c r="E175" s="146" t="s">
        <v>364</v>
      </c>
      <c r="F175" s="43">
        <f>'Design Calculator'!F39</f>
        <v>5</v>
      </c>
    </row>
    <row r="176" ht="12.0" customHeight="1">
      <c r="E176" s="146" t="s">
        <v>365</v>
      </c>
      <c r="F176" s="43">
        <f>'Design Calculator'!F66</f>
        <v>31</v>
      </c>
    </row>
    <row r="177" ht="12.0" customHeight="1">
      <c r="E177" s="146" t="s">
        <v>366</v>
      </c>
      <c r="F177" s="43">
        <f>'Design Calculator'!F29</f>
        <v>30</v>
      </c>
    </row>
    <row r="178" ht="12.0" customHeight="1"/>
    <row r="179" ht="12.0" customHeight="1">
      <c r="E179" s="146" t="s">
        <v>367</v>
      </c>
      <c r="F179" s="224">
        <f t="shared" ref="F179:F181" si="1">F24</f>
        <v>9.7</v>
      </c>
    </row>
    <row r="180" ht="12.0" customHeight="1">
      <c r="E180" s="146" t="s">
        <v>368</v>
      </c>
      <c r="F180" s="224">
        <f t="shared" si="1"/>
        <v>11</v>
      </c>
    </row>
    <row r="181" ht="12.0" customHeight="1">
      <c r="E181" s="146" t="s">
        <v>369</v>
      </c>
      <c r="F181" s="224">
        <f t="shared" si="1"/>
        <v>12.3</v>
      </c>
    </row>
    <row r="182" ht="12.0" customHeight="1"/>
    <row r="183" ht="12.0" customHeight="1">
      <c r="E183" s="146" t="s">
        <v>370</v>
      </c>
      <c r="F183" s="222">
        <f t="shared" ref="F183:F185" si="2">F46</f>
        <v>37.696</v>
      </c>
    </row>
    <row r="184" ht="12.0" customHeight="1">
      <c r="E184" s="146" t="s">
        <v>371</v>
      </c>
      <c r="F184" s="222">
        <f t="shared" si="2"/>
        <v>49.6</v>
      </c>
      <c r="Y184" s="67" t="s">
        <v>59</v>
      </c>
    </row>
    <row r="185" ht="12.0" customHeight="1">
      <c r="E185" s="146" t="s">
        <v>372</v>
      </c>
      <c r="F185" s="222">
        <f t="shared" si="2"/>
        <v>61.504</v>
      </c>
    </row>
    <row r="186" ht="12.0" customHeight="1"/>
    <row r="187" ht="12.0" customHeight="1"/>
    <row r="188" ht="12.0" customHeight="1"/>
    <row r="189" ht="12.0" customHeight="1"/>
    <row r="190" ht="12.0" customHeight="1">
      <c r="D190" s="115" t="s">
        <v>373</v>
      </c>
      <c r="E190" s="146"/>
      <c r="I190" s="115" t="s">
        <v>374</v>
      </c>
      <c r="N190" s="115" t="s">
        <v>375</v>
      </c>
      <c r="R190" s="67" t="s">
        <v>376</v>
      </c>
    </row>
    <row r="191" ht="12.0" customHeight="1">
      <c r="D191" s="115" t="s">
        <v>377</v>
      </c>
      <c r="I191" s="115" t="s">
        <v>378</v>
      </c>
      <c r="N191" s="115" t="s">
        <v>379</v>
      </c>
      <c r="R191" s="67" t="s">
        <v>380</v>
      </c>
    </row>
    <row r="192" ht="12.0" customHeight="1">
      <c r="B192" s="67" t="s">
        <v>381</v>
      </c>
      <c r="D192" s="233" t="s">
        <v>235</v>
      </c>
      <c r="E192" s="233" t="s">
        <v>219</v>
      </c>
      <c r="F192" s="233" t="s">
        <v>220</v>
      </c>
      <c r="G192" s="233" t="s">
        <v>221</v>
      </c>
      <c r="I192" s="233" t="s">
        <v>235</v>
      </c>
      <c r="J192" s="233" t="s">
        <v>219</v>
      </c>
      <c r="K192" s="233" t="s">
        <v>220</v>
      </c>
      <c r="L192" s="233" t="s">
        <v>221</v>
      </c>
      <c r="N192" s="115" t="s">
        <v>382</v>
      </c>
      <c r="R192" s="233" t="s">
        <v>235</v>
      </c>
      <c r="S192" s="233" t="s">
        <v>219</v>
      </c>
      <c r="T192" s="233" t="s">
        <v>220</v>
      </c>
      <c r="U192" s="233" t="s">
        <v>221</v>
      </c>
      <c r="V192" s="233" t="s">
        <v>383</v>
      </c>
      <c r="X192" s="234" t="s">
        <v>384</v>
      </c>
    </row>
    <row r="193" ht="12.0" customHeight="1">
      <c r="B193" s="115">
        <f t="shared" ref="B193:B272" si="4">D193*F193</f>
        <v>43.8</v>
      </c>
      <c r="D193" s="233">
        <v>1.0</v>
      </c>
      <c r="E193" s="235">
        <f t="shared" ref="E193:E272" si="5">(1-$F$280)*F193</f>
        <v>32.85</v>
      </c>
      <c r="F193" s="235">
        <f>($F$184+(D193-VINMAX)*$E$277/$E$278)/D193</f>
        <v>43.8</v>
      </c>
      <c r="G193" s="235">
        <f t="shared" ref="G193:G272" si="6">F193*(1+$F$280)</f>
        <v>54.75</v>
      </c>
      <c r="I193" s="233">
        <v>1.0</v>
      </c>
      <c r="J193" s="235">
        <f t="shared" ref="J193:J272" si="7">IF(E193&gt;$F$179,$F$179,E193)</f>
        <v>9.7</v>
      </c>
      <c r="K193" s="235">
        <f t="shared" ref="K193:K272" si="8">IF(F193&gt;$F$180,$F$180,F193)</f>
        <v>11</v>
      </c>
      <c r="L193" s="235">
        <f t="shared" ref="L193:L272" si="9">IF(G193&gt;$F$181,$F$181,G193)</f>
        <v>12.3</v>
      </c>
      <c r="N193" s="115" t="s">
        <v>385</v>
      </c>
      <c r="R193" s="233">
        <v>1.0</v>
      </c>
      <c r="S193" s="235">
        <f t="shared" ref="S193:U193" si="3">IF($R193&gt;$F$177,0.0000000005,J193)</f>
        <v>9.7</v>
      </c>
      <c r="T193" s="235">
        <f t="shared" si="3"/>
        <v>11</v>
      </c>
      <c r="U193" s="235">
        <f t="shared" si="3"/>
        <v>12.3</v>
      </c>
      <c r="V193" s="235">
        <f t="shared" ref="V193:V272" si="11">$X$193/R193</f>
        <v>97.88179342</v>
      </c>
      <c r="X193" s="115">
        <f>SOA!C26</f>
        <v>97.88179342</v>
      </c>
    </row>
    <row r="194" ht="12.0" customHeight="1">
      <c r="B194" s="115">
        <f t="shared" si="4"/>
        <v>44</v>
      </c>
      <c r="D194" s="233">
        <v>2.0</v>
      </c>
      <c r="E194" s="235">
        <f t="shared" si="5"/>
        <v>16.5</v>
      </c>
      <c r="F194" s="235">
        <f>($F$184+(D194-VINMAX)*$E$277/$E$278)/D194</f>
        <v>22</v>
      </c>
      <c r="G194" s="235">
        <f t="shared" si="6"/>
        <v>27.5</v>
      </c>
      <c r="I194" s="233">
        <v>2.0</v>
      </c>
      <c r="J194" s="235">
        <f t="shared" si="7"/>
        <v>9.7</v>
      </c>
      <c r="K194" s="235">
        <f t="shared" si="8"/>
        <v>11</v>
      </c>
      <c r="L194" s="235">
        <f t="shared" si="9"/>
        <v>12.3</v>
      </c>
      <c r="R194" s="233">
        <v>2.0</v>
      </c>
      <c r="S194" s="235">
        <f t="shared" ref="S194:U194" si="10">IF($R194&gt;$F$177,0.0000000005,J194)</f>
        <v>9.7</v>
      </c>
      <c r="T194" s="235">
        <f t="shared" si="10"/>
        <v>11</v>
      </c>
      <c r="U194" s="235">
        <f t="shared" si="10"/>
        <v>12.3</v>
      </c>
      <c r="V194" s="235">
        <f t="shared" si="11"/>
        <v>48.94089671</v>
      </c>
    </row>
    <row r="195" ht="12.0" customHeight="1">
      <c r="B195" s="115">
        <f t="shared" si="4"/>
        <v>44.2</v>
      </c>
      <c r="D195" s="233">
        <v>3.0</v>
      </c>
      <c r="E195" s="235">
        <f t="shared" si="5"/>
        <v>11.05</v>
      </c>
      <c r="F195" s="235">
        <f>($F$184+(D195-VINMAX)*$E$277/$E$278)/D195</f>
        <v>14.73333333</v>
      </c>
      <c r="G195" s="235">
        <f t="shared" si="6"/>
        <v>18.41666667</v>
      </c>
      <c r="I195" s="233">
        <v>3.0</v>
      </c>
      <c r="J195" s="235">
        <f t="shared" si="7"/>
        <v>9.7</v>
      </c>
      <c r="K195" s="235">
        <f t="shared" si="8"/>
        <v>11</v>
      </c>
      <c r="L195" s="235">
        <f t="shared" si="9"/>
        <v>12.3</v>
      </c>
      <c r="O195" s="236" t="s">
        <v>386</v>
      </c>
      <c r="R195" s="233">
        <v>3.0</v>
      </c>
      <c r="S195" s="235">
        <f t="shared" ref="S195:U195" si="12">IF($R195&gt;$F$177,0.0000000005,J195)</f>
        <v>9.7</v>
      </c>
      <c r="T195" s="235">
        <f t="shared" si="12"/>
        <v>11</v>
      </c>
      <c r="U195" s="235">
        <f t="shared" si="12"/>
        <v>12.3</v>
      </c>
      <c r="V195" s="235">
        <f t="shared" si="11"/>
        <v>32.62726447</v>
      </c>
    </row>
    <row r="196" ht="12.0" customHeight="1">
      <c r="B196" s="115">
        <f t="shared" si="4"/>
        <v>44.4</v>
      </c>
      <c r="D196" s="233">
        <v>4.0</v>
      </c>
      <c r="E196" s="235">
        <f t="shared" si="5"/>
        <v>8.325</v>
      </c>
      <c r="F196" s="235">
        <f>($F$184+(D196-VINMAX)*$E$277/$E$278)/D196</f>
        <v>11.1</v>
      </c>
      <c r="G196" s="235">
        <f t="shared" si="6"/>
        <v>13.875</v>
      </c>
      <c r="I196" s="233">
        <v>4.0</v>
      </c>
      <c r="J196" s="235">
        <f t="shared" si="7"/>
        <v>8.325</v>
      </c>
      <c r="K196" s="235">
        <f t="shared" si="8"/>
        <v>11</v>
      </c>
      <c r="L196" s="235">
        <f t="shared" si="9"/>
        <v>12.3</v>
      </c>
      <c r="N196" s="237" t="s">
        <v>235</v>
      </c>
      <c r="O196" s="238" t="s">
        <v>387</v>
      </c>
      <c r="R196" s="233">
        <v>4.0</v>
      </c>
      <c r="S196" s="235">
        <f t="shared" ref="S196:U196" si="13">IF($R196&gt;$F$177,0.0000000005,J196)</f>
        <v>8.325</v>
      </c>
      <c r="T196" s="235">
        <f t="shared" si="13"/>
        <v>11</v>
      </c>
      <c r="U196" s="235">
        <f t="shared" si="13"/>
        <v>12.3</v>
      </c>
      <c r="V196" s="235">
        <f t="shared" si="11"/>
        <v>24.47044836</v>
      </c>
    </row>
    <row r="197" ht="12.0" customHeight="1">
      <c r="B197" s="115">
        <f t="shared" si="4"/>
        <v>44.6</v>
      </c>
      <c r="D197" s="233">
        <v>5.0</v>
      </c>
      <c r="E197" s="235">
        <f t="shared" si="5"/>
        <v>6.69</v>
      </c>
      <c r="F197" s="235">
        <f>($F$184+(D197-VINMAX)*$E$277/$E$278)/D197</f>
        <v>8.92</v>
      </c>
      <c r="G197" s="235">
        <f t="shared" si="6"/>
        <v>11.15</v>
      </c>
      <c r="I197" s="233">
        <v>5.0</v>
      </c>
      <c r="J197" s="235">
        <f t="shared" si="7"/>
        <v>6.69</v>
      </c>
      <c r="K197" s="235">
        <f t="shared" si="8"/>
        <v>8.92</v>
      </c>
      <c r="L197" s="235">
        <f t="shared" si="9"/>
        <v>11.15</v>
      </c>
      <c r="N197" s="233">
        <v>1.0</v>
      </c>
      <c r="O197" s="233" t="str">
        <f>#REF!</f>
        <v>#REF!</v>
      </c>
      <c r="P197" s="115" t="s">
        <v>388</v>
      </c>
      <c r="R197" s="233">
        <v>5.0</v>
      </c>
      <c r="S197" s="235">
        <f t="shared" ref="S197:U197" si="14">IF($R197&gt;$F$177,0.0000000005,J197)</f>
        <v>6.69</v>
      </c>
      <c r="T197" s="235">
        <f t="shared" si="14"/>
        <v>8.92</v>
      </c>
      <c r="U197" s="235">
        <f t="shared" si="14"/>
        <v>11.15</v>
      </c>
      <c r="V197" s="235">
        <f t="shared" si="11"/>
        <v>19.57635868</v>
      </c>
    </row>
    <row r="198" ht="12.0" customHeight="1">
      <c r="B198" s="115">
        <f t="shared" si="4"/>
        <v>44.8</v>
      </c>
      <c r="D198" s="233">
        <v>6.0</v>
      </c>
      <c r="E198" s="235">
        <f t="shared" si="5"/>
        <v>5.6</v>
      </c>
      <c r="F198" s="235">
        <f>($F$184+(D198-VINMAX)*$E$277/$E$278)/D198</f>
        <v>7.466666667</v>
      </c>
      <c r="G198" s="235">
        <f t="shared" si="6"/>
        <v>9.333333333</v>
      </c>
      <c r="I198" s="233">
        <v>6.0</v>
      </c>
      <c r="J198" s="235">
        <f t="shared" si="7"/>
        <v>5.6</v>
      </c>
      <c r="K198" s="235">
        <f t="shared" si="8"/>
        <v>7.466666667</v>
      </c>
      <c r="L198" s="235">
        <f t="shared" si="9"/>
        <v>9.333333333</v>
      </c>
      <c r="N198" s="233">
        <v>2.0</v>
      </c>
      <c r="O198" s="235" t="str">
        <f>O201+((O197-O201)*3/7)</f>
        <v>#REF!</v>
      </c>
      <c r="R198" s="233">
        <v>6.0</v>
      </c>
      <c r="S198" s="235">
        <f t="shared" ref="S198:U198" si="15">IF($R198&gt;$F$177,0.0000000005,J198)</f>
        <v>5.6</v>
      </c>
      <c r="T198" s="235">
        <f t="shared" si="15"/>
        <v>7.466666667</v>
      </c>
      <c r="U198" s="235">
        <f t="shared" si="15"/>
        <v>9.333333333</v>
      </c>
      <c r="V198" s="235">
        <f t="shared" si="11"/>
        <v>16.31363224</v>
      </c>
    </row>
    <row r="199" ht="12.0" customHeight="1">
      <c r="B199" s="115">
        <f t="shared" si="4"/>
        <v>45</v>
      </c>
      <c r="D199" s="233">
        <v>7.0</v>
      </c>
      <c r="E199" s="235">
        <f t="shared" si="5"/>
        <v>4.821428571</v>
      </c>
      <c r="F199" s="235">
        <f>($F$184+(D199-VINMAX)*$E$277/$E$278)/D199</f>
        <v>6.428571429</v>
      </c>
      <c r="G199" s="235">
        <f t="shared" si="6"/>
        <v>8.035714286</v>
      </c>
      <c r="I199" s="233">
        <v>7.0</v>
      </c>
      <c r="J199" s="235">
        <f t="shared" si="7"/>
        <v>4.821428571</v>
      </c>
      <c r="K199" s="235">
        <f t="shared" si="8"/>
        <v>6.428571429</v>
      </c>
      <c r="L199" s="235">
        <f t="shared" si="9"/>
        <v>8.035714286</v>
      </c>
      <c r="N199" s="233">
        <v>3.0</v>
      </c>
      <c r="O199" s="235" t="str">
        <f>O201+((O197-O201)*2/8)</f>
        <v>#REF!</v>
      </c>
      <c r="R199" s="233">
        <v>7.0</v>
      </c>
      <c r="S199" s="235">
        <f t="shared" ref="S199:U199" si="16">IF($R199&gt;$F$177,0.0000000005,J199)</f>
        <v>4.821428571</v>
      </c>
      <c r="T199" s="235">
        <f t="shared" si="16"/>
        <v>6.428571429</v>
      </c>
      <c r="U199" s="235">
        <f t="shared" si="16"/>
        <v>8.035714286</v>
      </c>
      <c r="V199" s="235">
        <f t="shared" si="11"/>
        <v>13.98311335</v>
      </c>
    </row>
    <row r="200" ht="12.0" customHeight="1">
      <c r="B200" s="115">
        <f t="shared" si="4"/>
        <v>45.2</v>
      </c>
      <c r="D200" s="233">
        <v>8.0</v>
      </c>
      <c r="E200" s="235">
        <f t="shared" si="5"/>
        <v>4.2375</v>
      </c>
      <c r="F200" s="235">
        <f>($F$184+(D200-VINMAX)*$E$277/$E$278)/D200</f>
        <v>5.65</v>
      </c>
      <c r="G200" s="235">
        <f t="shared" si="6"/>
        <v>7.0625</v>
      </c>
      <c r="I200" s="233">
        <v>8.0</v>
      </c>
      <c r="J200" s="235">
        <f t="shared" si="7"/>
        <v>4.2375</v>
      </c>
      <c r="K200" s="235">
        <f t="shared" si="8"/>
        <v>5.65</v>
      </c>
      <c r="L200" s="235">
        <f t="shared" si="9"/>
        <v>7.0625</v>
      </c>
      <c r="N200" s="233">
        <v>4.0</v>
      </c>
      <c r="O200" s="235" t="str">
        <f>O201+((O197-O201)*1/9)</f>
        <v>#REF!</v>
      </c>
      <c r="R200" s="233">
        <v>8.0</v>
      </c>
      <c r="S200" s="235">
        <f t="shared" ref="S200:U200" si="17">IF($R200&gt;$F$177,0.0000000005,J200)</f>
        <v>4.2375</v>
      </c>
      <c r="T200" s="235">
        <f t="shared" si="17"/>
        <v>5.65</v>
      </c>
      <c r="U200" s="235">
        <f t="shared" si="17"/>
        <v>7.0625</v>
      </c>
      <c r="V200" s="235">
        <f t="shared" si="11"/>
        <v>12.23522418</v>
      </c>
    </row>
    <row r="201" ht="12.0" customHeight="1">
      <c r="B201" s="115">
        <f t="shared" si="4"/>
        <v>45.4</v>
      </c>
      <c r="D201" s="233">
        <v>9.0</v>
      </c>
      <c r="E201" s="235">
        <f t="shared" si="5"/>
        <v>3.783333333</v>
      </c>
      <c r="F201" s="235">
        <f>($F$184+(D201-VINMAX)*$E$277/$E$278)/D201</f>
        <v>5.044444444</v>
      </c>
      <c r="G201" s="235">
        <f t="shared" si="6"/>
        <v>6.305555556</v>
      </c>
      <c r="I201" s="233">
        <v>9.0</v>
      </c>
      <c r="J201" s="235">
        <f t="shared" si="7"/>
        <v>3.783333333</v>
      </c>
      <c r="K201" s="235">
        <f t="shared" si="8"/>
        <v>5.044444444</v>
      </c>
      <c r="L201" s="235">
        <f t="shared" si="9"/>
        <v>6.305555556</v>
      </c>
      <c r="N201" s="233">
        <v>5.0</v>
      </c>
      <c r="O201" s="235" t="str">
        <f>#REF!</f>
        <v>#REF!</v>
      </c>
      <c r="P201" s="115" t="s">
        <v>389</v>
      </c>
      <c r="R201" s="233">
        <v>9.0</v>
      </c>
      <c r="S201" s="235">
        <f t="shared" ref="S201:U201" si="18">IF($R201&gt;$F$177,0.0000000005,J201)</f>
        <v>3.783333333</v>
      </c>
      <c r="T201" s="235">
        <f t="shared" si="18"/>
        <v>5.044444444</v>
      </c>
      <c r="U201" s="235">
        <f t="shared" si="18"/>
        <v>6.305555556</v>
      </c>
      <c r="V201" s="235">
        <f t="shared" si="11"/>
        <v>10.87575482</v>
      </c>
    </row>
    <row r="202" ht="12.0" customHeight="1">
      <c r="B202" s="115">
        <f t="shared" si="4"/>
        <v>45.6</v>
      </c>
      <c r="D202" s="233">
        <v>10.0</v>
      </c>
      <c r="E202" s="235">
        <f t="shared" si="5"/>
        <v>3.42</v>
      </c>
      <c r="F202" s="235">
        <f>($F$184+(D202-VINMAX)*$E$277/$E$278)/D202</f>
        <v>4.56</v>
      </c>
      <c r="G202" s="235">
        <f t="shared" si="6"/>
        <v>5.7</v>
      </c>
      <c r="I202" s="233">
        <v>10.0</v>
      </c>
      <c r="J202" s="235">
        <f t="shared" si="7"/>
        <v>3.42</v>
      </c>
      <c r="K202" s="235">
        <f t="shared" si="8"/>
        <v>4.56</v>
      </c>
      <c r="L202" s="235">
        <f t="shared" si="9"/>
        <v>5.7</v>
      </c>
      <c r="N202" s="233">
        <v>6.0</v>
      </c>
      <c r="O202" s="235" t="str">
        <f>O$206+((O$201-O$206)*4/6)</f>
        <v>#REF!</v>
      </c>
      <c r="R202" s="233">
        <v>10.0</v>
      </c>
      <c r="S202" s="235">
        <f t="shared" ref="S202:U202" si="19">IF($R202&gt;$F$177,0.0000000005,J202)</f>
        <v>3.42</v>
      </c>
      <c r="T202" s="235">
        <f t="shared" si="19"/>
        <v>4.56</v>
      </c>
      <c r="U202" s="235">
        <f t="shared" si="19"/>
        <v>5.7</v>
      </c>
      <c r="V202" s="235">
        <f t="shared" si="11"/>
        <v>9.788179342</v>
      </c>
    </row>
    <row r="203" ht="12.0" customHeight="1">
      <c r="B203" s="115">
        <f t="shared" si="4"/>
        <v>45.8</v>
      </c>
      <c r="D203" s="233">
        <v>11.0</v>
      </c>
      <c r="E203" s="235">
        <f t="shared" si="5"/>
        <v>3.122727273</v>
      </c>
      <c r="F203" s="235">
        <f>($F$184+(D203-VINMAX)*$E$277/$E$278)/D203</f>
        <v>4.163636364</v>
      </c>
      <c r="G203" s="235">
        <f t="shared" si="6"/>
        <v>5.204545455</v>
      </c>
      <c r="I203" s="233">
        <v>11.0</v>
      </c>
      <c r="J203" s="235">
        <f t="shared" si="7"/>
        <v>3.122727273</v>
      </c>
      <c r="K203" s="235">
        <f t="shared" si="8"/>
        <v>4.163636364</v>
      </c>
      <c r="L203" s="235">
        <f t="shared" si="9"/>
        <v>5.204545455</v>
      </c>
      <c r="N203" s="233">
        <v>7.0</v>
      </c>
      <c r="O203" s="235" t="str">
        <f>O$206+((O$201-O$206)*3/7)</f>
        <v>#REF!</v>
      </c>
      <c r="R203" s="233">
        <v>11.0</v>
      </c>
      <c r="S203" s="235">
        <f t="shared" ref="S203:U203" si="20">IF($R203&gt;$F$177,0.0000000005,J203)</f>
        <v>3.122727273</v>
      </c>
      <c r="T203" s="235">
        <f t="shared" si="20"/>
        <v>4.163636364</v>
      </c>
      <c r="U203" s="235">
        <f t="shared" si="20"/>
        <v>5.204545455</v>
      </c>
      <c r="V203" s="235">
        <f t="shared" si="11"/>
        <v>8.898344857</v>
      </c>
    </row>
    <row r="204" ht="12.0" customHeight="1">
      <c r="B204" s="115">
        <f t="shared" si="4"/>
        <v>46</v>
      </c>
      <c r="D204" s="233">
        <v>12.0</v>
      </c>
      <c r="E204" s="235">
        <f t="shared" si="5"/>
        <v>2.875</v>
      </c>
      <c r="F204" s="235">
        <f>($F$184+(D204-VINMAX)*$E$277/$E$278)/D204</f>
        <v>3.833333333</v>
      </c>
      <c r="G204" s="235">
        <f t="shared" si="6"/>
        <v>4.791666667</v>
      </c>
      <c r="I204" s="233">
        <v>12.0</v>
      </c>
      <c r="J204" s="235">
        <f t="shared" si="7"/>
        <v>2.875</v>
      </c>
      <c r="K204" s="235">
        <f t="shared" si="8"/>
        <v>3.833333333</v>
      </c>
      <c r="L204" s="235">
        <f t="shared" si="9"/>
        <v>4.791666667</v>
      </c>
      <c r="N204" s="233">
        <v>8.0</v>
      </c>
      <c r="O204" s="235" t="str">
        <f>O$206+((O$201-O$206)*2/8)</f>
        <v>#REF!</v>
      </c>
      <c r="R204" s="233">
        <v>12.0</v>
      </c>
      <c r="S204" s="235">
        <f t="shared" ref="S204:U204" si="21">IF($R204&gt;$F$177,0.0000000005,J204)</f>
        <v>2.875</v>
      </c>
      <c r="T204" s="235">
        <f t="shared" si="21"/>
        <v>3.833333333</v>
      </c>
      <c r="U204" s="235">
        <f t="shared" si="21"/>
        <v>4.791666667</v>
      </c>
      <c r="V204" s="235">
        <f t="shared" si="11"/>
        <v>8.156816118</v>
      </c>
    </row>
    <row r="205" ht="12.0" customHeight="1">
      <c r="B205" s="115">
        <f t="shared" si="4"/>
        <v>46.2</v>
      </c>
      <c r="D205" s="233">
        <v>13.0</v>
      </c>
      <c r="E205" s="235">
        <f t="shared" si="5"/>
        <v>2.665384615</v>
      </c>
      <c r="F205" s="235">
        <f>($F$184+(D205-VINMAX)*$E$277/$E$278)/D205</f>
        <v>3.553846154</v>
      </c>
      <c r="G205" s="235">
        <f t="shared" si="6"/>
        <v>4.442307692</v>
      </c>
      <c r="I205" s="233">
        <v>13.0</v>
      </c>
      <c r="J205" s="235">
        <f t="shared" si="7"/>
        <v>2.665384615</v>
      </c>
      <c r="K205" s="235">
        <f t="shared" si="8"/>
        <v>3.553846154</v>
      </c>
      <c r="L205" s="235">
        <f t="shared" si="9"/>
        <v>4.442307692</v>
      </c>
      <c r="N205" s="233">
        <v>9.0</v>
      </c>
      <c r="O205" s="235" t="str">
        <f>O$206+((O$201-O$206)*1/9)</f>
        <v>#REF!</v>
      </c>
      <c r="R205" s="233">
        <v>13.0</v>
      </c>
      <c r="S205" s="235">
        <f t="shared" ref="S205:U205" si="22">IF($R205&gt;$F$177,0.0000000005,J205)</f>
        <v>2.665384615</v>
      </c>
      <c r="T205" s="235">
        <f t="shared" si="22"/>
        <v>3.553846154</v>
      </c>
      <c r="U205" s="235">
        <f t="shared" si="22"/>
        <v>4.442307692</v>
      </c>
      <c r="V205" s="235">
        <f t="shared" si="11"/>
        <v>7.529368725</v>
      </c>
    </row>
    <row r="206" ht="12.0" customHeight="1">
      <c r="B206" s="115">
        <f t="shared" si="4"/>
        <v>46.4</v>
      </c>
      <c r="D206" s="233">
        <v>14.0</v>
      </c>
      <c r="E206" s="235">
        <f t="shared" si="5"/>
        <v>2.485714286</v>
      </c>
      <c r="F206" s="235">
        <f>($F$184+(D206-VINMAX)*$E$277/$E$278)/D206</f>
        <v>3.314285714</v>
      </c>
      <c r="G206" s="235">
        <f t="shared" si="6"/>
        <v>4.142857143</v>
      </c>
      <c r="I206" s="233">
        <v>14.0</v>
      </c>
      <c r="J206" s="235">
        <f t="shared" si="7"/>
        <v>2.485714286</v>
      </c>
      <c r="K206" s="235">
        <f t="shared" si="8"/>
        <v>3.314285714</v>
      </c>
      <c r="L206" s="235">
        <f t="shared" si="9"/>
        <v>4.142857143</v>
      </c>
      <c r="N206" s="233">
        <v>10.0</v>
      </c>
      <c r="O206" s="235" t="str">
        <f>#REF!</f>
        <v>#REF!</v>
      </c>
      <c r="P206" s="115" t="s">
        <v>389</v>
      </c>
      <c r="R206" s="233">
        <v>14.0</v>
      </c>
      <c r="S206" s="235">
        <f t="shared" ref="S206:U206" si="23">IF($R206&gt;$F$177,0.0000000005,J206)</f>
        <v>2.485714286</v>
      </c>
      <c r="T206" s="235">
        <f t="shared" si="23"/>
        <v>3.314285714</v>
      </c>
      <c r="U206" s="235">
        <f t="shared" si="23"/>
        <v>4.142857143</v>
      </c>
      <c r="V206" s="235">
        <f t="shared" si="11"/>
        <v>6.991556673</v>
      </c>
    </row>
    <row r="207" ht="12.0" customHeight="1">
      <c r="B207" s="115">
        <f t="shared" si="4"/>
        <v>46.6</v>
      </c>
      <c r="D207" s="233">
        <v>15.0</v>
      </c>
      <c r="E207" s="235">
        <f t="shared" si="5"/>
        <v>2.33</v>
      </c>
      <c r="F207" s="235">
        <f>($F$184+(D207-VINMAX)*$E$277/$E$278)/D207</f>
        <v>3.106666667</v>
      </c>
      <c r="G207" s="235">
        <f t="shared" si="6"/>
        <v>3.883333333</v>
      </c>
      <c r="I207" s="233">
        <v>15.0</v>
      </c>
      <c r="J207" s="235">
        <f t="shared" si="7"/>
        <v>2.33</v>
      </c>
      <c r="K207" s="235">
        <f t="shared" si="8"/>
        <v>3.106666667</v>
      </c>
      <c r="L207" s="235">
        <f t="shared" si="9"/>
        <v>3.883333333</v>
      </c>
      <c r="N207" s="233">
        <v>11.0</v>
      </c>
      <c r="O207" s="235" t="str">
        <f>O$211+((O$206-O$211)*4/6)</f>
        <v>#REF!</v>
      </c>
      <c r="R207" s="233">
        <v>15.0</v>
      </c>
      <c r="S207" s="235">
        <f t="shared" ref="S207:U207" si="24">IF($R207&gt;$F$177,0.0000000005,J207)</f>
        <v>2.33</v>
      </c>
      <c r="T207" s="235">
        <f t="shared" si="24"/>
        <v>3.106666667</v>
      </c>
      <c r="U207" s="235">
        <f t="shared" si="24"/>
        <v>3.883333333</v>
      </c>
      <c r="V207" s="235">
        <f t="shared" si="11"/>
        <v>6.525452895</v>
      </c>
    </row>
    <row r="208" ht="12.0" customHeight="1">
      <c r="B208" s="115">
        <f t="shared" si="4"/>
        <v>46.8</v>
      </c>
      <c r="D208" s="233">
        <v>16.0</v>
      </c>
      <c r="E208" s="235">
        <f t="shared" si="5"/>
        <v>2.19375</v>
      </c>
      <c r="F208" s="235">
        <f>($F$184+(D208-VINMAX)*$E$277/$E$278)/D208</f>
        <v>2.925</v>
      </c>
      <c r="G208" s="235">
        <f t="shared" si="6"/>
        <v>3.65625</v>
      </c>
      <c r="I208" s="233">
        <v>16.0</v>
      </c>
      <c r="J208" s="235">
        <f t="shared" si="7"/>
        <v>2.19375</v>
      </c>
      <c r="K208" s="235">
        <f t="shared" si="8"/>
        <v>2.925</v>
      </c>
      <c r="L208" s="235">
        <f t="shared" si="9"/>
        <v>3.65625</v>
      </c>
      <c r="N208" s="233">
        <v>12.0</v>
      </c>
      <c r="O208" s="235" t="str">
        <f>O$211+((O$206-O$211)*3/7)</f>
        <v>#REF!</v>
      </c>
      <c r="R208" s="233">
        <v>16.0</v>
      </c>
      <c r="S208" s="235">
        <f t="shared" ref="S208:U208" si="25">IF($R208&gt;$F$177,0.0000000005,J208)</f>
        <v>2.19375</v>
      </c>
      <c r="T208" s="235">
        <f t="shared" si="25"/>
        <v>2.925</v>
      </c>
      <c r="U208" s="235">
        <f t="shared" si="25"/>
        <v>3.65625</v>
      </c>
      <c r="V208" s="235">
        <f t="shared" si="11"/>
        <v>6.117612089</v>
      </c>
    </row>
    <row r="209" ht="12.0" customHeight="1">
      <c r="B209" s="115">
        <f t="shared" si="4"/>
        <v>47</v>
      </c>
      <c r="D209" s="233">
        <v>17.0</v>
      </c>
      <c r="E209" s="235">
        <f t="shared" si="5"/>
        <v>2.073529412</v>
      </c>
      <c r="F209" s="235">
        <f>($F$184+(D209-VINMAX)*$E$277/$E$278)/D209</f>
        <v>2.764705882</v>
      </c>
      <c r="G209" s="235">
        <f t="shared" si="6"/>
        <v>3.455882353</v>
      </c>
      <c r="I209" s="233">
        <v>17.0</v>
      </c>
      <c r="J209" s="235">
        <f t="shared" si="7"/>
        <v>2.073529412</v>
      </c>
      <c r="K209" s="235">
        <f t="shared" si="8"/>
        <v>2.764705882</v>
      </c>
      <c r="L209" s="235">
        <f t="shared" si="9"/>
        <v>3.455882353</v>
      </c>
      <c r="N209" s="233">
        <v>13.0</v>
      </c>
      <c r="O209" s="235" t="str">
        <f>O$211+((O$206-O$211)*2/8)</f>
        <v>#REF!</v>
      </c>
      <c r="R209" s="233">
        <v>17.0</v>
      </c>
      <c r="S209" s="235">
        <f t="shared" ref="S209:U209" si="26">IF($R209&gt;$F$177,0.0000000005,J209)</f>
        <v>2.073529412</v>
      </c>
      <c r="T209" s="235">
        <f t="shared" si="26"/>
        <v>2.764705882</v>
      </c>
      <c r="U209" s="235">
        <f t="shared" si="26"/>
        <v>3.455882353</v>
      </c>
      <c r="V209" s="235">
        <f t="shared" si="11"/>
        <v>5.757752554</v>
      </c>
    </row>
    <row r="210" ht="12.0" customHeight="1">
      <c r="B210" s="115">
        <f t="shared" si="4"/>
        <v>47.2</v>
      </c>
      <c r="D210" s="233">
        <v>18.0</v>
      </c>
      <c r="E210" s="235">
        <f t="shared" si="5"/>
        <v>1.966666667</v>
      </c>
      <c r="F210" s="235">
        <f>($F$184+(D210-VINMAX)*$E$277/$E$278)/D210</f>
        <v>2.622222222</v>
      </c>
      <c r="G210" s="235">
        <f t="shared" si="6"/>
        <v>3.277777778</v>
      </c>
      <c r="I210" s="233">
        <v>18.0</v>
      </c>
      <c r="J210" s="235">
        <f t="shared" si="7"/>
        <v>1.966666667</v>
      </c>
      <c r="K210" s="235">
        <f t="shared" si="8"/>
        <v>2.622222222</v>
      </c>
      <c r="L210" s="235">
        <f t="shared" si="9"/>
        <v>3.277777778</v>
      </c>
      <c r="N210" s="233">
        <v>14.0</v>
      </c>
      <c r="O210" s="235" t="str">
        <f>O$211+((O$206-O$211)*1/9)</f>
        <v>#REF!</v>
      </c>
      <c r="R210" s="233">
        <v>18.0</v>
      </c>
      <c r="S210" s="235">
        <f t="shared" ref="S210:U210" si="27">IF($R210&gt;$F$177,0.0000000005,J210)</f>
        <v>1.966666667</v>
      </c>
      <c r="T210" s="235">
        <f t="shared" si="27"/>
        <v>2.622222222</v>
      </c>
      <c r="U210" s="235">
        <f t="shared" si="27"/>
        <v>3.277777778</v>
      </c>
      <c r="V210" s="235">
        <f t="shared" si="11"/>
        <v>5.437877412</v>
      </c>
    </row>
    <row r="211" ht="12.0" customHeight="1">
      <c r="B211" s="115">
        <f t="shared" si="4"/>
        <v>47.4</v>
      </c>
      <c r="D211" s="233">
        <v>19.0</v>
      </c>
      <c r="E211" s="235">
        <f t="shared" si="5"/>
        <v>1.871052632</v>
      </c>
      <c r="F211" s="235">
        <f>($F$184+(D211-VINMAX)*$E$277/$E$278)/D211</f>
        <v>2.494736842</v>
      </c>
      <c r="G211" s="235">
        <f t="shared" si="6"/>
        <v>3.118421053</v>
      </c>
      <c r="I211" s="233">
        <v>19.0</v>
      </c>
      <c r="J211" s="235">
        <f t="shared" si="7"/>
        <v>1.871052632</v>
      </c>
      <c r="K211" s="235">
        <f t="shared" si="8"/>
        <v>2.494736842</v>
      </c>
      <c r="L211" s="235">
        <f t="shared" si="9"/>
        <v>3.118421053</v>
      </c>
      <c r="N211" s="233">
        <v>15.0</v>
      </c>
      <c r="O211" s="235" t="str">
        <f>#REF!</f>
        <v>#REF!</v>
      </c>
      <c r="P211" s="115" t="s">
        <v>389</v>
      </c>
      <c r="R211" s="233">
        <v>19.0</v>
      </c>
      <c r="S211" s="235">
        <f t="shared" ref="S211:U211" si="28">IF($R211&gt;$F$177,0.0000000005,J211)</f>
        <v>1.871052632</v>
      </c>
      <c r="T211" s="235">
        <f t="shared" si="28"/>
        <v>2.494736842</v>
      </c>
      <c r="U211" s="235">
        <f t="shared" si="28"/>
        <v>3.118421053</v>
      </c>
      <c r="V211" s="235">
        <f t="shared" si="11"/>
        <v>5.151673338</v>
      </c>
    </row>
    <row r="212" ht="12.0" customHeight="1">
      <c r="B212" s="115">
        <f t="shared" si="4"/>
        <v>47.6</v>
      </c>
      <c r="D212" s="233">
        <v>20.0</v>
      </c>
      <c r="E212" s="235">
        <f t="shared" si="5"/>
        <v>1.785</v>
      </c>
      <c r="F212" s="235">
        <f>($F$184+(D212-VINMAX)*$E$277/$E$278)/D212</f>
        <v>2.38</v>
      </c>
      <c r="G212" s="235">
        <f t="shared" si="6"/>
        <v>2.975</v>
      </c>
      <c r="I212" s="233">
        <v>20.0</v>
      </c>
      <c r="J212" s="235">
        <f t="shared" si="7"/>
        <v>1.785</v>
      </c>
      <c r="K212" s="235">
        <f t="shared" si="8"/>
        <v>2.38</v>
      </c>
      <c r="L212" s="235">
        <f t="shared" si="9"/>
        <v>2.975</v>
      </c>
      <c r="N212" s="233">
        <v>16.0</v>
      </c>
      <c r="O212" s="235" t="str">
        <f>O$216+((O$211-O$216)*4/6)</f>
        <v>#REF!</v>
      </c>
      <c r="R212" s="233">
        <v>20.0</v>
      </c>
      <c r="S212" s="235">
        <f t="shared" ref="S212:U212" si="29">IF($R212&gt;$F$177,0.0000000005,J212)</f>
        <v>1.785</v>
      </c>
      <c r="T212" s="235">
        <f t="shared" si="29"/>
        <v>2.38</v>
      </c>
      <c r="U212" s="235">
        <f t="shared" si="29"/>
        <v>2.975</v>
      </c>
      <c r="V212" s="235">
        <f t="shared" si="11"/>
        <v>4.894089671</v>
      </c>
    </row>
    <row r="213" ht="12.0" customHeight="1">
      <c r="B213" s="115">
        <f t="shared" si="4"/>
        <v>47.8</v>
      </c>
      <c r="D213" s="233">
        <v>21.0</v>
      </c>
      <c r="E213" s="235">
        <f t="shared" si="5"/>
        <v>1.707142857</v>
      </c>
      <c r="F213" s="235">
        <f>($F$184+(D213-VINMAX)*$E$277/$E$278)/D213</f>
        <v>2.276190476</v>
      </c>
      <c r="G213" s="235">
        <f t="shared" si="6"/>
        <v>2.845238095</v>
      </c>
      <c r="I213" s="233">
        <v>21.0</v>
      </c>
      <c r="J213" s="235">
        <f t="shared" si="7"/>
        <v>1.707142857</v>
      </c>
      <c r="K213" s="235">
        <f t="shared" si="8"/>
        <v>2.276190476</v>
      </c>
      <c r="L213" s="235">
        <f t="shared" si="9"/>
        <v>2.845238095</v>
      </c>
      <c r="N213" s="233">
        <v>17.0</v>
      </c>
      <c r="O213" s="235" t="str">
        <f>O$216+((O$211-O$216)*3/7)</f>
        <v>#REF!</v>
      </c>
      <c r="R213" s="233">
        <v>21.0</v>
      </c>
      <c r="S213" s="235">
        <f t="shared" ref="S213:U213" si="30">IF($R213&gt;$F$177,0.0000000005,J213)</f>
        <v>1.707142857</v>
      </c>
      <c r="T213" s="235">
        <f t="shared" si="30"/>
        <v>2.276190476</v>
      </c>
      <c r="U213" s="235">
        <f t="shared" si="30"/>
        <v>2.845238095</v>
      </c>
      <c r="V213" s="235">
        <f t="shared" si="11"/>
        <v>4.661037782</v>
      </c>
    </row>
    <row r="214" ht="12.0" customHeight="1">
      <c r="B214" s="115">
        <f t="shared" si="4"/>
        <v>48</v>
      </c>
      <c r="D214" s="233">
        <v>22.0</v>
      </c>
      <c r="E214" s="235">
        <f t="shared" si="5"/>
        <v>1.636363636</v>
      </c>
      <c r="F214" s="235">
        <f>($F$184+(D214-VINMAX)*$E$277/$E$278)/D214</f>
        <v>2.181818182</v>
      </c>
      <c r="G214" s="235">
        <f t="shared" si="6"/>
        <v>2.727272727</v>
      </c>
      <c r="I214" s="233">
        <v>22.0</v>
      </c>
      <c r="J214" s="235">
        <f t="shared" si="7"/>
        <v>1.636363636</v>
      </c>
      <c r="K214" s="235">
        <f t="shared" si="8"/>
        <v>2.181818182</v>
      </c>
      <c r="L214" s="235">
        <f t="shared" si="9"/>
        <v>2.727272727</v>
      </c>
      <c r="N214" s="233">
        <v>18.0</v>
      </c>
      <c r="O214" s="235" t="str">
        <f>O$216+((O$211-O$216)*2/8)</f>
        <v>#REF!</v>
      </c>
      <c r="R214" s="233">
        <v>22.0</v>
      </c>
      <c r="S214" s="235">
        <f t="shared" ref="S214:U214" si="31">IF($R214&gt;$F$177,0.0000000005,J214)</f>
        <v>1.636363636</v>
      </c>
      <c r="T214" s="235">
        <f t="shared" si="31"/>
        <v>2.181818182</v>
      </c>
      <c r="U214" s="235">
        <f t="shared" si="31"/>
        <v>2.727272727</v>
      </c>
      <c r="V214" s="235">
        <f t="shared" si="11"/>
        <v>4.449172428</v>
      </c>
    </row>
    <row r="215" ht="12.0" customHeight="1">
      <c r="B215" s="115">
        <f t="shared" si="4"/>
        <v>48.2</v>
      </c>
      <c r="D215" s="233">
        <v>23.0</v>
      </c>
      <c r="E215" s="235">
        <f t="shared" si="5"/>
        <v>1.57173913</v>
      </c>
      <c r="F215" s="235">
        <f>($F$184+(D215-VINMAX)*$E$277/$E$278)/D215</f>
        <v>2.095652174</v>
      </c>
      <c r="G215" s="235">
        <f t="shared" si="6"/>
        <v>2.619565217</v>
      </c>
      <c r="I215" s="233">
        <v>23.0</v>
      </c>
      <c r="J215" s="235">
        <f t="shared" si="7"/>
        <v>1.57173913</v>
      </c>
      <c r="K215" s="235">
        <f t="shared" si="8"/>
        <v>2.095652174</v>
      </c>
      <c r="L215" s="235">
        <f t="shared" si="9"/>
        <v>2.619565217</v>
      </c>
      <c r="N215" s="233">
        <v>19.0</v>
      </c>
      <c r="O215" s="235" t="str">
        <f>O$216+((O$211-O$216)*1/9)</f>
        <v>#REF!</v>
      </c>
      <c r="R215" s="233">
        <v>23.0</v>
      </c>
      <c r="S215" s="235">
        <f t="shared" ref="S215:U215" si="32">IF($R215&gt;$F$177,0.0000000005,J215)</f>
        <v>1.57173913</v>
      </c>
      <c r="T215" s="235">
        <f t="shared" si="32"/>
        <v>2.095652174</v>
      </c>
      <c r="U215" s="235">
        <f t="shared" si="32"/>
        <v>2.619565217</v>
      </c>
      <c r="V215" s="235">
        <f t="shared" si="11"/>
        <v>4.255730149</v>
      </c>
    </row>
    <row r="216" ht="12.0" customHeight="1">
      <c r="B216" s="115">
        <f t="shared" si="4"/>
        <v>48.4</v>
      </c>
      <c r="D216" s="233">
        <v>24.0</v>
      </c>
      <c r="E216" s="235">
        <f t="shared" si="5"/>
        <v>1.5125</v>
      </c>
      <c r="F216" s="235">
        <f>($F$184+(D216-VINMAX)*$E$277/$E$278)/D216</f>
        <v>2.016666667</v>
      </c>
      <c r="G216" s="235">
        <f t="shared" si="6"/>
        <v>2.520833333</v>
      </c>
      <c r="I216" s="233">
        <v>24.0</v>
      </c>
      <c r="J216" s="235">
        <f t="shared" si="7"/>
        <v>1.5125</v>
      </c>
      <c r="K216" s="235">
        <f t="shared" si="8"/>
        <v>2.016666667</v>
      </c>
      <c r="L216" s="235">
        <f t="shared" si="9"/>
        <v>2.520833333</v>
      </c>
      <c r="N216" s="233">
        <v>20.0</v>
      </c>
      <c r="O216" s="235" t="str">
        <f>#REF!</f>
        <v>#REF!</v>
      </c>
      <c r="P216" s="115" t="s">
        <v>389</v>
      </c>
      <c r="R216" s="233">
        <v>24.0</v>
      </c>
      <c r="S216" s="235">
        <f t="shared" ref="S216:U216" si="33">IF($R216&gt;$F$177,0.0000000005,J216)</f>
        <v>1.5125</v>
      </c>
      <c r="T216" s="235">
        <f t="shared" si="33"/>
        <v>2.016666667</v>
      </c>
      <c r="U216" s="235">
        <f t="shared" si="33"/>
        <v>2.520833333</v>
      </c>
      <c r="V216" s="235">
        <f t="shared" si="11"/>
        <v>4.078408059</v>
      </c>
    </row>
    <row r="217" ht="12.0" customHeight="1">
      <c r="B217" s="115">
        <f t="shared" si="4"/>
        <v>48.6</v>
      </c>
      <c r="D217" s="233">
        <v>25.0</v>
      </c>
      <c r="E217" s="235">
        <f t="shared" si="5"/>
        <v>1.458</v>
      </c>
      <c r="F217" s="235">
        <f>($F$184+(D217-VINMAX)*$E$277/$E$278)/D217</f>
        <v>1.944</v>
      </c>
      <c r="G217" s="235">
        <f t="shared" si="6"/>
        <v>2.43</v>
      </c>
      <c r="I217" s="233">
        <v>25.0</v>
      </c>
      <c r="J217" s="235">
        <f t="shared" si="7"/>
        <v>1.458</v>
      </c>
      <c r="K217" s="235">
        <f t="shared" si="8"/>
        <v>1.944</v>
      </c>
      <c r="L217" s="235">
        <f t="shared" si="9"/>
        <v>2.43</v>
      </c>
      <c r="R217" s="233">
        <v>25.0</v>
      </c>
      <c r="S217" s="235">
        <f t="shared" ref="S217:U217" si="34">IF($R217&gt;$F$177,0.0000000005,J217)</f>
        <v>1.458</v>
      </c>
      <c r="T217" s="235">
        <f t="shared" si="34"/>
        <v>1.944</v>
      </c>
      <c r="U217" s="235">
        <f t="shared" si="34"/>
        <v>2.43</v>
      </c>
      <c r="V217" s="235">
        <f t="shared" si="11"/>
        <v>3.915271737</v>
      </c>
    </row>
    <row r="218" ht="12.0" customHeight="1">
      <c r="B218" s="115">
        <f t="shared" si="4"/>
        <v>48.8</v>
      </c>
      <c r="D218" s="233">
        <v>26.0</v>
      </c>
      <c r="E218" s="235">
        <f t="shared" si="5"/>
        <v>1.407692308</v>
      </c>
      <c r="F218" s="235">
        <f>($F$184+(D218-VINMAX)*$E$277/$E$278)/D218</f>
        <v>1.876923077</v>
      </c>
      <c r="G218" s="235">
        <f t="shared" si="6"/>
        <v>2.346153846</v>
      </c>
      <c r="I218" s="233">
        <v>26.0</v>
      </c>
      <c r="J218" s="235">
        <f t="shared" si="7"/>
        <v>1.407692308</v>
      </c>
      <c r="K218" s="235">
        <f t="shared" si="8"/>
        <v>1.876923077</v>
      </c>
      <c r="L218" s="235">
        <f t="shared" si="9"/>
        <v>2.346153846</v>
      </c>
      <c r="R218" s="233">
        <v>26.0</v>
      </c>
      <c r="S218" s="235">
        <f t="shared" ref="S218:U218" si="35">IF($R218&gt;$F$177,0.0000000005,J218)</f>
        <v>1.407692308</v>
      </c>
      <c r="T218" s="235">
        <f t="shared" si="35"/>
        <v>1.876923077</v>
      </c>
      <c r="U218" s="235">
        <f t="shared" si="35"/>
        <v>2.346153846</v>
      </c>
      <c r="V218" s="235">
        <f t="shared" si="11"/>
        <v>3.764684362</v>
      </c>
    </row>
    <row r="219" ht="12.0" customHeight="1">
      <c r="B219" s="115">
        <f t="shared" si="4"/>
        <v>49</v>
      </c>
      <c r="D219" s="233">
        <v>27.0</v>
      </c>
      <c r="E219" s="235">
        <f t="shared" si="5"/>
        <v>1.361111111</v>
      </c>
      <c r="F219" s="235">
        <f>($F$184+(D219-VINMAX)*$E$277/$E$278)/D219</f>
        <v>1.814814815</v>
      </c>
      <c r="G219" s="235">
        <f t="shared" si="6"/>
        <v>2.268518519</v>
      </c>
      <c r="I219" s="233">
        <v>27.0</v>
      </c>
      <c r="J219" s="235">
        <f t="shared" si="7"/>
        <v>1.361111111</v>
      </c>
      <c r="K219" s="235">
        <f t="shared" si="8"/>
        <v>1.814814815</v>
      </c>
      <c r="L219" s="235">
        <f t="shared" si="9"/>
        <v>2.268518519</v>
      </c>
      <c r="R219" s="233">
        <v>27.0</v>
      </c>
      <c r="S219" s="235">
        <f t="shared" ref="S219:U219" si="36">IF($R219&gt;$F$177,0.0000000005,J219)</f>
        <v>1.361111111</v>
      </c>
      <c r="T219" s="235">
        <f t="shared" si="36"/>
        <v>1.814814815</v>
      </c>
      <c r="U219" s="235">
        <f t="shared" si="36"/>
        <v>2.268518519</v>
      </c>
      <c r="V219" s="235">
        <f t="shared" si="11"/>
        <v>3.625251608</v>
      </c>
    </row>
    <row r="220" ht="12.0" customHeight="1">
      <c r="B220" s="115">
        <f t="shared" si="4"/>
        <v>49.2</v>
      </c>
      <c r="D220" s="233">
        <v>28.0</v>
      </c>
      <c r="E220" s="235">
        <f t="shared" si="5"/>
        <v>1.317857143</v>
      </c>
      <c r="F220" s="235">
        <f>($F$184+(D220-VINMAX)*$E$277/$E$278)/D220</f>
        <v>1.757142857</v>
      </c>
      <c r="G220" s="235">
        <f t="shared" si="6"/>
        <v>2.196428571</v>
      </c>
      <c r="I220" s="233">
        <v>28.0</v>
      </c>
      <c r="J220" s="235">
        <f t="shared" si="7"/>
        <v>1.317857143</v>
      </c>
      <c r="K220" s="235">
        <f t="shared" si="8"/>
        <v>1.757142857</v>
      </c>
      <c r="L220" s="235">
        <f t="shared" si="9"/>
        <v>2.196428571</v>
      </c>
      <c r="R220" s="233">
        <v>28.0</v>
      </c>
      <c r="S220" s="235">
        <f t="shared" ref="S220:U220" si="37">IF($R220&gt;$F$177,0.0000000005,J220)</f>
        <v>1.317857143</v>
      </c>
      <c r="T220" s="235">
        <f t="shared" si="37"/>
        <v>1.757142857</v>
      </c>
      <c r="U220" s="235">
        <f t="shared" si="37"/>
        <v>2.196428571</v>
      </c>
      <c r="V220" s="235">
        <f t="shared" si="11"/>
        <v>3.495778336</v>
      </c>
    </row>
    <row r="221" ht="12.0" customHeight="1">
      <c r="B221" s="115">
        <f t="shared" si="4"/>
        <v>49.4</v>
      </c>
      <c r="D221" s="233">
        <v>29.0</v>
      </c>
      <c r="E221" s="235">
        <f t="shared" si="5"/>
        <v>1.277586207</v>
      </c>
      <c r="F221" s="235">
        <f>($F$184+(D221-VINMAX)*$E$277/$E$278)/D221</f>
        <v>1.703448276</v>
      </c>
      <c r="G221" s="235">
        <f t="shared" si="6"/>
        <v>2.129310345</v>
      </c>
      <c r="I221" s="233">
        <v>29.0</v>
      </c>
      <c r="J221" s="235">
        <f t="shared" si="7"/>
        <v>1.277586207</v>
      </c>
      <c r="K221" s="235">
        <f t="shared" si="8"/>
        <v>1.703448276</v>
      </c>
      <c r="L221" s="235">
        <f t="shared" si="9"/>
        <v>2.129310345</v>
      </c>
      <c r="R221" s="233">
        <v>29.0</v>
      </c>
      <c r="S221" s="235">
        <f t="shared" ref="S221:U221" si="38">IF($R221&gt;$F$177,0.0000000005,J221)</f>
        <v>1.277586207</v>
      </c>
      <c r="T221" s="235">
        <f t="shared" si="38"/>
        <v>1.703448276</v>
      </c>
      <c r="U221" s="235">
        <f t="shared" si="38"/>
        <v>2.129310345</v>
      </c>
      <c r="V221" s="235">
        <f t="shared" si="11"/>
        <v>3.375234256</v>
      </c>
    </row>
    <row r="222" ht="12.0" customHeight="1">
      <c r="B222" s="115">
        <f t="shared" si="4"/>
        <v>49.6</v>
      </c>
      <c r="D222" s="233">
        <v>30.0</v>
      </c>
      <c r="E222" s="235">
        <f t="shared" si="5"/>
        <v>1.24</v>
      </c>
      <c r="F222" s="235">
        <f>($F$184+(D222-VINMAX)*$E$277/$E$278)/D222</f>
        <v>1.653333333</v>
      </c>
      <c r="G222" s="235">
        <f t="shared" si="6"/>
        <v>2.066666667</v>
      </c>
      <c r="I222" s="233">
        <v>30.0</v>
      </c>
      <c r="J222" s="235">
        <f t="shared" si="7"/>
        <v>1.24</v>
      </c>
      <c r="K222" s="235">
        <f t="shared" si="8"/>
        <v>1.653333333</v>
      </c>
      <c r="L222" s="235">
        <f t="shared" si="9"/>
        <v>2.066666667</v>
      </c>
      <c r="R222" s="233">
        <v>30.0</v>
      </c>
      <c r="S222" s="235">
        <f t="shared" ref="S222:U222" si="39">IF($R222&gt;$F$177,0.0000000005,J222)</f>
        <v>1.24</v>
      </c>
      <c r="T222" s="235">
        <f t="shared" si="39"/>
        <v>1.653333333</v>
      </c>
      <c r="U222" s="235">
        <f t="shared" si="39"/>
        <v>2.066666667</v>
      </c>
      <c r="V222" s="235">
        <f t="shared" si="11"/>
        <v>3.262726447</v>
      </c>
    </row>
    <row r="223" ht="12.0" customHeight="1">
      <c r="B223" s="115">
        <f t="shared" si="4"/>
        <v>49.8</v>
      </c>
      <c r="D223" s="233">
        <v>31.0</v>
      </c>
      <c r="E223" s="235">
        <f t="shared" si="5"/>
        <v>1.20483871</v>
      </c>
      <c r="F223" s="235">
        <f>($F$184+(D223-VINMAX)*$E$277/$E$278)/D223</f>
        <v>1.606451613</v>
      </c>
      <c r="G223" s="235">
        <f t="shared" si="6"/>
        <v>2.008064516</v>
      </c>
      <c r="I223" s="233">
        <v>31.0</v>
      </c>
      <c r="J223" s="235">
        <f t="shared" si="7"/>
        <v>1.20483871</v>
      </c>
      <c r="K223" s="235">
        <f t="shared" si="8"/>
        <v>1.606451613</v>
      </c>
      <c r="L223" s="235">
        <f t="shared" si="9"/>
        <v>2.008064516</v>
      </c>
      <c r="R223" s="233">
        <v>31.0</v>
      </c>
      <c r="S223" s="235">
        <f t="shared" ref="S223:U223" si="40">IF($R223&gt;$F$177,0.0000000005,J223)</f>
        <v>0.0000000005</v>
      </c>
      <c r="T223" s="235">
        <f t="shared" si="40"/>
        <v>0.0000000005</v>
      </c>
      <c r="U223" s="235">
        <f t="shared" si="40"/>
        <v>0.0000000005</v>
      </c>
      <c r="V223" s="235">
        <f t="shared" si="11"/>
        <v>3.157477207</v>
      </c>
    </row>
    <row r="224" ht="12.0" customHeight="1">
      <c r="B224" s="115">
        <f t="shared" si="4"/>
        <v>50</v>
      </c>
      <c r="D224" s="233">
        <v>32.0</v>
      </c>
      <c r="E224" s="235">
        <f t="shared" si="5"/>
        <v>1.171875</v>
      </c>
      <c r="F224" s="235">
        <f>($F$184+(D224-VINMAX)*$E$277/$E$278)/D224</f>
        <v>1.5625</v>
      </c>
      <c r="G224" s="235">
        <f t="shared" si="6"/>
        <v>1.953125</v>
      </c>
      <c r="I224" s="233">
        <v>32.0</v>
      </c>
      <c r="J224" s="235">
        <f t="shared" si="7"/>
        <v>1.171875</v>
      </c>
      <c r="K224" s="235">
        <f t="shared" si="8"/>
        <v>1.5625</v>
      </c>
      <c r="L224" s="235">
        <f t="shared" si="9"/>
        <v>1.953125</v>
      </c>
      <c r="R224" s="233">
        <v>32.0</v>
      </c>
      <c r="S224" s="235">
        <f t="shared" ref="S224:U224" si="41">IF($R224&gt;$F$177,0.0000000005,J224)</f>
        <v>0.0000000005</v>
      </c>
      <c r="T224" s="235">
        <f t="shared" si="41"/>
        <v>0.0000000005</v>
      </c>
      <c r="U224" s="235">
        <f t="shared" si="41"/>
        <v>0.0000000005</v>
      </c>
      <c r="V224" s="235">
        <f t="shared" si="11"/>
        <v>3.058806044</v>
      </c>
    </row>
    <row r="225" ht="12.0" customHeight="1">
      <c r="B225" s="115">
        <f t="shared" si="4"/>
        <v>50.2</v>
      </c>
      <c r="D225" s="233">
        <v>33.0</v>
      </c>
      <c r="E225" s="235">
        <f t="shared" si="5"/>
        <v>1.140909091</v>
      </c>
      <c r="F225" s="235">
        <f>($F$184+(D225-VINMAX)*$E$277/$E$278)/D225</f>
        <v>1.521212121</v>
      </c>
      <c r="G225" s="235">
        <f t="shared" si="6"/>
        <v>1.901515152</v>
      </c>
      <c r="I225" s="233">
        <v>33.0</v>
      </c>
      <c r="J225" s="235">
        <f t="shared" si="7"/>
        <v>1.140909091</v>
      </c>
      <c r="K225" s="235">
        <f t="shared" si="8"/>
        <v>1.521212121</v>
      </c>
      <c r="L225" s="235">
        <f t="shared" si="9"/>
        <v>1.901515152</v>
      </c>
      <c r="R225" s="233">
        <v>33.0</v>
      </c>
      <c r="S225" s="235">
        <f t="shared" ref="S225:U225" si="42">IF($R225&gt;$F$177,0.0000000005,J225)</f>
        <v>0.0000000005</v>
      </c>
      <c r="T225" s="235">
        <f t="shared" si="42"/>
        <v>0.0000000005</v>
      </c>
      <c r="U225" s="235">
        <f t="shared" si="42"/>
        <v>0.0000000005</v>
      </c>
      <c r="V225" s="235">
        <f t="shared" si="11"/>
        <v>2.966114952</v>
      </c>
    </row>
    <row r="226" ht="12.0" customHeight="1">
      <c r="B226" s="115">
        <f t="shared" si="4"/>
        <v>50.4</v>
      </c>
      <c r="D226" s="233">
        <v>34.0</v>
      </c>
      <c r="E226" s="235">
        <f t="shared" si="5"/>
        <v>1.111764706</v>
      </c>
      <c r="F226" s="235">
        <f>($F$184+(D226-VINMAX)*$E$277/$E$278)/D226</f>
        <v>1.482352941</v>
      </c>
      <c r="G226" s="235">
        <f t="shared" si="6"/>
        <v>1.852941176</v>
      </c>
      <c r="I226" s="233">
        <v>34.0</v>
      </c>
      <c r="J226" s="235">
        <f t="shared" si="7"/>
        <v>1.111764706</v>
      </c>
      <c r="K226" s="235">
        <f t="shared" si="8"/>
        <v>1.482352941</v>
      </c>
      <c r="L226" s="235">
        <f t="shared" si="9"/>
        <v>1.852941176</v>
      </c>
      <c r="R226" s="233">
        <v>34.0</v>
      </c>
      <c r="S226" s="235">
        <f t="shared" ref="S226:U226" si="43">IF($R226&gt;$F$177,0.0000000005,J226)</f>
        <v>0.0000000005</v>
      </c>
      <c r="T226" s="235">
        <f t="shared" si="43"/>
        <v>0.0000000005</v>
      </c>
      <c r="U226" s="235">
        <f t="shared" si="43"/>
        <v>0.0000000005</v>
      </c>
      <c r="V226" s="235">
        <f t="shared" si="11"/>
        <v>2.878876277</v>
      </c>
    </row>
    <row r="227" ht="12.0" customHeight="1">
      <c r="B227" s="115">
        <f t="shared" si="4"/>
        <v>50.6</v>
      </c>
      <c r="D227" s="233">
        <v>35.0</v>
      </c>
      <c r="E227" s="235">
        <f t="shared" si="5"/>
        <v>1.084285714</v>
      </c>
      <c r="F227" s="235">
        <f>($F$184+(D227-VINMAX)*$E$277/$E$278)/D227</f>
        <v>1.445714286</v>
      </c>
      <c r="G227" s="235">
        <f t="shared" si="6"/>
        <v>1.807142857</v>
      </c>
      <c r="I227" s="233">
        <v>35.0</v>
      </c>
      <c r="J227" s="235">
        <f t="shared" si="7"/>
        <v>1.084285714</v>
      </c>
      <c r="K227" s="235">
        <f t="shared" si="8"/>
        <v>1.445714286</v>
      </c>
      <c r="L227" s="235">
        <f t="shared" si="9"/>
        <v>1.807142857</v>
      </c>
      <c r="R227" s="233">
        <v>35.0</v>
      </c>
      <c r="S227" s="235">
        <f t="shared" ref="S227:U227" si="44">IF($R227&gt;$F$177,0.0000000005,J227)</f>
        <v>0.0000000005</v>
      </c>
      <c r="T227" s="235">
        <f t="shared" si="44"/>
        <v>0.0000000005</v>
      </c>
      <c r="U227" s="235">
        <f t="shared" si="44"/>
        <v>0.0000000005</v>
      </c>
      <c r="V227" s="235">
        <f t="shared" si="11"/>
        <v>2.796622669</v>
      </c>
    </row>
    <row r="228" ht="12.0" customHeight="1">
      <c r="B228" s="115">
        <f t="shared" si="4"/>
        <v>50.8</v>
      </c>
      <c r="D228" s="233">
        <v>36.0</v>
      </c>
      <c r="E228" s="235">
        <f t="shared" si="5"/>
        <v>1.058333333</v>
      </c>
      <c r="F228" s="235">
        <f>($F$184+(D228-VINMAX)*$E$277/$E$278)/D228</f>
        <v>1.411111111</v>
      </c>
      <c r="G228" s="235">
        <f t="shared" si="6"/>
        <v>1.763888889</v>
      </c>
      <c r="I228" s="233">
        <v>36.0</v>
      </c>
      <c r="J228" s="235">
        <f t="shared" si="7"/>
        <v>1.058333333</v>
      </c>
      <c r="K228" s="235">
        <f t="shared" si="8"/>
        <v>1.411111111</v>
      </c>
      <c r="L228" s="235">
        <f t="shared" si="9"/>
        <v>1.763888889</v>
      </c>
      <c r="R228" s="233">
        <v>36.0</v>
      </c>
      <c r="S228" s="235">
        <f t="shared" ref="S228:U228" si="45">IF($R228&gt;$F$177,0.0000000005,J228)</f>
        <v>0.0000000005</v>
      </c>
      <c r="T228" s="235">
        <f t="shared" si="45"/>
        <v>0.0000000005</v>
      </c>
      <c r="U228" s="235">
        <f t="shared" si="45"/>
        <v>0.0000000005</v>
      </c>
      <c r="V228" s="235">
        <f t="shared" si="11"/>
        <v>2.718938706</v>
      </c>
    </row>
    <row r="229" ht="12.0" customHeight="1">
      <c r="B229" s="115">
        <f t="shared" si="4"/>
        <v>51</v>
      </c>
      <c r="D229" s="233">
        <v>37.0</v>
      </c>
      <c r="E229" s="235">
        <f t="shared" si="5"/>
        <v>1.033783784</v>
      </c>
      <c r="F229" s="235">
        <f>($F$184+(D229-VINMAX)*$E$277/$E$278)/D229</f>
        <v>1.378378378</v>
      </c>
      <c r="G229" s="235">
        <f t="shared" si="6"/>
        <v>1.722972973</v>
      </c>
      <c r="I229" s="233">
        <v>37.0</v>
      </c>
      <c r="J229" s="235">
        <f t="shared" si="7"/>
        <v>1.033783784</v>
      </c>
      <c r="K229" s="235">
        <f t="shared" si="8"/>
        <v>1.378378378</v>
      </c>
      <c r="L229" s="235">
        <f t="shared" si="9"/>
        <v>1.722972973</v>
      </c>
      <c r="R229" s="233">
        <v>37.0</v>
      </c>
      <c r="S229" s="235">
        <f t="shared" ref="S229:U229" si="46">IF($R229&gt;$F$177,0.0000000005,J229)</f>
        <v>0.0000000005</v>
      </c>
      <c r="T229" s="235">
        <f t="shared" si="46"/>
        <v>0.0000000005</v>
      </c>
      <c r="U229" s="235">
        <f t="shared" si="46"/>
        <v>0.0000000005</v>
      </c>
      <c r="V229" s="235">
        <f t="shared" si="11"/>
        <v>2.645453876</v>
      </c>
    </row>
    <row r="230" ht="12.0" customHeight="1">
      <c r="B230" s="115">
        <f t="shared" si="4"/>
        <v>51.2</v>
      </c>
      <c r="D230" s="233">
        <v>38.0</v>
      </c>
      <c r="E230" s="235">
        <f t="shared" si="5"/>
        <v>1.010526316</v>
      </c>
      <c r="F230" s="235">
        <f>($F$184+(D230-VINMAX)*$E$277/$E$278)/D230</f>
        <v>1.347368421</v>
      </c>
      <c r="G230" s="235">
        <f t="shared" si="6"/>
        <v>1.684210526</v>
      </c>
      <c r="I230" s="233">
        <v>38.0</v>
      </c>
      <c r="J230" s="235">
        <f t="shared" si="7"/>
        <v>1.010526316</v>
      </c>
      <c r="K230" s="235">
        <f t="shared" si="8"/>
        <v>1.347368421</v>
      </c>
      <c r="L230" s="235">
        <f t="shared" si="9"/>
        <v>1.684210526</v>
      </c>
      <c r="R230" s="233">
        <v>38.0</v>
      </c>
      <c r="S230" s="235">
        <f t="shared" ref="S230:U230" si="47">IF($R230&gt;$F$177,0.0000000005,J230)</f>
        <v>0.0000000005</v>
      </c>
      <c r="T230" s="235">
        <f t="shared" si="47"/>
        <v>0.0000000005</v>
      </c>
      <c r="U230" s="235">
        <f t="shared" si="47"/>
        <v>0.0000000005</v>
      </c>
      <c r="V230" s="235">
        <f t="shared" si="11"/>
        <v>2.575836669</v>
      </c>
    </row>
    <row r="231" ht="12.0" customHeight="1">
      <c r="B231" s="115">
        <f t="shared" si="4"/>
        <v>51.4</v>
      </c>
      <c r="D231" s="233">
        <v>39.0</v>
      </c>
      <c r="E231" s="235">
        <f t="shared" si="5"/>
        <v>0.9884615385</v>
      </c>
      <c r="F231" s="235">
        <f>($F$184+(D231-VINMAX)*$E$277/$E$278)/D231</f>
        <v>1.317948718</v>
      </c>
      <c r="G231" s="235">
        <f t="shared" si="6"/>
        <v>1.647435897</v>
      </c>
      <c r="I231" s="233">
        <v>39.0</v>
      </c>
      <c r="J231" s="235">
        <f t="shared" si="7"/>
        <v>0.9884615385</v>
      </c>
      <c r="K231" s="235">
        <f t="shared" si="8"/>
        <v>1.317948718</v>
      </c>
      <c r="L231" s="235">
        <f t="shared" si="9"/>
        <v>1.647435897</v>
      </c>
      <c r="R231" s="233">
        <v>39.0</v>
      </c>
      <c r="S231" s="235">
        <f t="shared" ref="S231:U231" si="48">IF($R231&gt;$F$177,0.0000000005,J231)</f>
        <v>0.0000000005</v>
      </c>
      <c r="T231" s="235">
        <f t="shared" si="48"/>
        <v>0.0000000005</v>
      </c>
      <c r="U231" s="235">
        <f t="shared" si="48"/>
        <v>0.0000000005</v>
      </c>
      <c r="V231" s="235">
        <f t="shared" si="11"/>
        <v>2.509789575</v>
      </c>
    </row>
    <row r="232" ht="12.0" customHeight="1">
      <c r="B232" s="115">
        <f t="shared" si="4"/>
        <v>51.6</v>
      </c>
      <c r="D232" s="233">
        <v>40.0</v>
      </c>
      <c r="E232" s="235">
        <f t="shared" si="5"/>
        <v>0.9675</v>
      </c>
      <c r="F232" s="235">
        <f>($F$184+(D232-VINMAX)*$E$277/$E$278)/D232</f>
        <v>1.29</v>
      </c>
      <c r="G232" s="235">
        <f t="shared" si="6"/>
        <v>1.6125</v>
      </c>
      <c r="I232" s="233">
        <v>40.0</v>
      </c>
      <c r="J232" s="235">
        <f t="shared" si="7"/>
        <v>0.9675</v>
      </c>
      <c r="K232" s="235">
        <f t="shared" si="8"/>
        <v>1.29</v>
      </c>
      <c r="L232" s="235">
        <f t="shared" si="9"/>
        <v>1.6125</v>
      </c>
      <c r="R232" s="233">
        <v>40.0</v>
      </c>
      <c r="S232" s="235">
        <f t="shared" ref="S232:U232" si="49">IF($R232&gt;$F$177,0.0000000005,J232)</f>
        <v>0.0000000005</v>
      </c>
      <c r="T232" s="235">
        <f t="shared" si="49"/>
        <v>0.0000000005</v>
      </c>
      <c r="U232" s="235">
        <f t="shared" si="49"/>
        <v>0.0000000005</v>
      </c>
      <c r="V232" s="235">
        <f t="shared" si="11"/>
        <v>2.447044836</v>
      </c>
    </row>
    <row r="233" ht="12.0" customHeight="1">
      <c r="B233" s="115">
        <f t="shared" si="4"/>
        <v>51.8</v>
      </c>
      <c r="D233" s="233">
        <v>41.0</v>
      </c>
      <c r="E233" s="235">
        <f t="shared" si="5"/>
        <v>0.9475609756</v>
      </c>
      <c r="F233" s="235">
        <f>($F$184+(D233-VINMAX)*$E$277/$E$278)/D233</f>
        <v>1.263414634</v>
      </c>
      <c r="G233" s="235">
        <f t="shared" si="6"/>
        <v>1.579268293</v>
      </c>
      <c r="I233" s="233">
        <v>41.0</v>
      </c>
      <c r="J233" s="235">
        <f t="shared" si="7"/>
        <v>0.9475609756</v>
      </c>
      <c r="K233" s="235">
        <f t="shared" si="8"/>
        <v>1.263414634</v>
      </c>
      <c r="L233" s="235">
        <f t="shared" si="9"/>
        <v>1.579268293</v>
      </c>
      <c r="R233" s="233">
        <v>41.0</v>
      </c>
      <c r="S233" s="235">
        <f t="shared" ref="S233:U233" si="50">IF($R233&gt;$F$177,0.0000000005,J233)</f>
        <v>0.0000000005</v>
      </c>
      <c r="T233" s="235">
        <f t="shared" si="50"/>
        <v>0.0000000005</v>
      </c>
      <c r="U233" s="235">
        <f t="shared" si="50"/>
        <v>0.0000000005</v>
      </c>
      <c r="V233" s="235">
        <f t="shared" si="11"/>
        <v>2.387360815</v>
      </c>
    </row>
    <row r="234" ht="12.0" customHeight="1">
      <c r="B234" s="115">
        <f t="shared" si="4"/>
        <v>52</v>
      </c>
      <c r="D234" s="233">
        <v>42.0</v>
      </c>
      <c r="E234" s="235">
        <f t="shared" si="5"/>
        <v>0.9285714286</v>
      </c>
      <c r="F234" s="235">
        <f>($F$184+(D234-VINMAX)*$E$277/$E$278)/D234</f>
        <v>1.238095238</v>
      </c>
      <c r="G234" s="235">
        <f t="shared" si="6"/>
        <v>1.547619048</v>
      </c>
      <c r="I234" s="233">
        <v>42.0</v>
      </c>
      <c r="J234" s="235">
        <f t="shared" si="7"/>
        <v>0.9285714286</v>
      </c>
      <c r="K234" s="235">
        <f t="shared" si="8"/>
        <v>1.238095238</v>
      </c>
      <c r="L234" s="235">
        <f t="shared" si="9"/>
        <v>1.547619048</v>
      </c>
      <c r="R234" s="233">
        <v>42.0</v>
      </c>
      <c r="S234" s="235">
        <f t="shared" ref="S234:U234" si="51">IF($R234&gt;$F$177,0.0000000005,J234)</f>
        <v>0.0000000005</v>
      </c>
      <c r="T234" s="235">
        <f t="shared" si="51"/>
        <v>0.0000000005</v>
      </c>
      <c r="U234" s="235">
        <f t="shared" si="51"/>
        <v>0.0000000005</v>
      </c>
      <c r="V234" s="235">
        <f t="shared" si="11"/>
        <v>2.330518891</v>
      </c>
    </row>
    <row r="235" ht="12.0" customHeight="1">
      <c r="B235" s="115">
        <f t="shared" si="4"/>
        <v>52.2</v>
      </c>
      <c r="D235" s="233">
        <v>43.0</v>
      </c>
      <c r="E235" s="235">
        <f t="shared" si="5"/>
        <v>0.9104651163</v>
      </c>
      <c r="F235" s="235">
        <f>($F$184+(D235-VINMAX)*$E$277/$E$278)/D235</f>
        <v>1.213953488</v>
      </c>
      <c r="G235" s="235">
        <f t="shared" si="6"/>
        <v>1.51744186</v>
      </c>
      <c r="I235" s="233">
        <v>43.0</v>
      </c>
      <c r="J235" s="235">
        <f t="shared" si="7"/>
        <v>0.9104651163</v>
      </c>
      <c r="K235" s="235">
        <f t="shared" si="8"/>
        <v>1.213953488</v>
      </c>
      <c r="L235" s="235">
        <f t="shared" si="9"/>
        <v>1.51744186</v>
      </c>
      <c r="R235" s="233">
        <v>43.0</v>
      </c>
      <c r="S235" s="235">
        <f t="shared" ref="S235:U235" si="52">IF($R235&gt;$F$177,0.0000000005,J235)</f>
        <v>0.0000000005</v>
      </c>
      <c r="T235" s="235">
        <f t="shared" si="52"/>
        <v>0.0000000005</v>
      </c>
      <c r="U235" s="235">
        <f t="shared" si="52"/>
        <v>0.0000000005</v>
      </c>
      <c r="V235" s="235">
        <f t="shared" si="11"/>
        <v>2.276320777</v>
      </c>
    </row>
    <row r="236" ht="12.0" customHeight="1">
      <c r="B236" s="115">
        <f t="shared" si="4"/>
        <v>52.4</v>
      </c>
      <c r="D236" s="233">
        <v>44.0</v>
      </c>
      <c r="E236" s="235">
        <f t="shared" si="5"/>
        <v>0.8931818182</v>
      </c>
      <c r="F236" s="235">
        <f>($F$184+(D236-VINMAX)*$E$277/$E$278)/D236</f>
        <v>1.190909091</v>
      </c>
      <c r="G236" s="235">
        <f t="shared" si="6"/>
        <v>1.488636364</v>
      </c>
      <c r="I236" s="233">
        <v>44.0</v>
      </c>
      <c r="J236" s="235">
        <f t="shared" si="7"/>
        <v>0.8931818182</v>
      </c>
      <c r="K236" s="235">
        <f t="shared" si="8"/>
        <v>1.190909091</v>
      </c>
      <c r="L236" s="235">
        <f t="shared" si="9"/>
        <v>1.488636364</v>
      </c>
      <c r="R236" s="233">
        <v>44.0</v>
      </c>
      <c r="S236" s="235">
        <f t="shared" ref="S236:U236" si="53">IF($R236&gt;$F$177,0.0000000005,J236)</f>
        <v>0.0000000005</v>
      </c>
      <c r="T236" s="235">
        <f t="shared" si="53"/>
        <v>0.0000000005</v>
      </c>
      <c r="U236" s="235">
        <f t="shared" si="53"/>
        <v>0.0000000005</v>
      </c>
      <c r="V236" s="235">
        <f t="shared" si="11"/>
        <v>2.224586214</v>
      </c>
    </row>
    <row r="237" ht="12.0" customHeight="1">
      <c r="B237" s="115">
        <f t="shared" si="4"/>
        <v>52.6</v>
      </c>
      <c r="D237" s="233">
        <v>45.0</v>
      </c>
      <c r="E237" s="235">
        <f t="shared" si="5"/>
        <v>0.8766666667</v>
      </c>
      <c r="F237" s="235">
        <f>($F$184+(D237-VINMAX)*$E$277/$E$278)/D237</f>
        <v>1.168888889</v>
      </c>
      <c r="G237" s="235">
        <f t="shared" si="6"/>
        <v>1.461111111</v>
      </c>
      <c r="I237" s="233">
        <v>45.0</v>
      </c>
      <c r="J237" s="235">
        <f t="shared" si="7"/>
        <v>0.8766666667</v>
      </c>
      <c r="K237" s="235">
        <f t="shared" si="8"/>
        <v>1.168888889</v>
      </c>
      <c r="L237" s="235">
        <f t="shared" si="9"/>
        <v>1.461111111</v>
      </c>
      <c r="R237" s="233">
        <v>45.0</v>
      </c>
      <c r="S237" s="235">
        <f t="shared" ref="S237:U237" si="54">IF($R237&gt;$F$177,0.0000000005,J237)</f>
        <v>0.0000000005</v>
      </c>
      <c r="T237" s="235">
        <f t="shared" si="54"/>
        <v>0.0000000005</v>
      </c>
      <c r="U237" s="235">
        <f t="shared" si="54"/>
        <v>0.0000000005</v>
      </c>
      <c r="V237" s="235">
        <f t="shared" si="11"/>
        <v>2.175150965</v>
      </c>
    </row>
    <row r="238" ht="12.0" customHeight="1">
      <c r="B238" s="115">
        <f t="shared" si="4"/>
        <v>52.8</v>
      </c>
      <c r="D238" s="233">
        <v>46.0</v>
      </c>
      <c r="E238" s="235">
        <f t="shared" si="5"/>
        <v>0.8608695652</v>
      </c>
      <c r="F238" s="235">
        <f>($F$184+(D238-VINMAX)*$E$277/$E$278)/D238</f>
        <v>1.147826087</v>
      </c>
      <c r="G238" s="235">
        <f t="shared" si="6"/>
        <v>1.434782609</v>
      </c>
      <c r="I238" s="233">
        <v>46.0</v>
      </c>
      <c r="J238" s="235">
        <f t="shared" si="7"/>
        <v>0.8608695652</v>
      </c>
      <c r="K238" s="235">
        <f t="shared" si="8"/>
        <v>1.147826087</v>
      </c>
      <c r="L238" s="235">
        <f t="shared" si="9"/>
        <v>1.434782609</v>
      </c>
      <c r="R238" s="233">
        <v>46.0</v>
      </c>
      <c r="S238" s="235">
        <f t="shared" ref="S238:U238" si="55">IF($R238&gt;$F$177,0.0000000005,J238)</f>
        <v>0.0000000005</v>
      </c>
      <c r="T238" s="235">
        <f t="shared" si="55"/>
        <v>0.0000000005</v>
      </c>
      <c r="U238" s="235">
        <f t="shared" si="55"/>
        <v>0.0000000005</v>
      </c>
      <c r="V238" s="235">
        <f t="shared" si="11"/>
        <v>2.127865074</v>
      </c>
    </row>
    <row r="239" ht="12.0" customHeight="1">
      <c r="B239" s="115">
        <f t="shared" si="4"/>
        <v>53</v>
      </c>
      <c r="D239" s="233">
        <v>47.0</v>
      </c>
      <c r="E239" s="235">
        <f t="shared" si="5"/>
        <v>0.8457446809</v>
      </c>
      <c r="F239" s="235">
        <f>($F$184+(D239-VINMAX)*$E$277/$E$278)/D239</f>
        <v>1.127659574</v>
      </c>
      <c r="G239" s="235">
        <f t="shared" si="6"/>
        <v>1.409574468</v>
      </c>
      <c r="I239" s="233">
        <v>47.0</v>
      </c>
      <c r="J239" s="235">
        <f t="shared" si="7"/>
        <v>0.8457446809</v>
      </c>
      <c r="K239" s="235">
        <f t="shared" si="8"/>
        <v>1.127659574</v>
      </c>
      <c r="L239" s="235">
        <f t="shared" si="9"/>
        <v>1.409574468</v>
      </c>
      <c r="R239" s="233">
        <v>47.0</v>
      </c>
      <c r="S239" s="235">
        <f t="shared" ref="S239:U239" si="56">IF($R239&gt;$F$177,0.0000000005,J239)</f>
        <v>0.0000000005</v>
      </c>
      <c r="T239" s="235">
        <f t="shared" si="56"/>
        <v>0.0000000005</v>
      </c>
      <c r="U239" s="235">
        <f t="shared" si="56"/>
        <v>0.0000000005</v>
      </c>
      <c r="V239" s="235">
        <f t="shared" si="11"/>
        <v>2.082591349</v>
      </c>
    </row>
    <row r="240" ht="12.0" customHeight="1">
      <c r="B240" s="115">
        <f t="shared" si="4"/>
        <v>53.2</v>
      </c>
      <c r="D240" s="233">
        <v>48.0</v>
      </c>
      <c r="E240" s="235">
        <f t="shared" si="5"/>
        <v>0.83125</v>
      </c>
      <c r="F240" s="235">
        <f>($F$184+(D240-VINMAX)*$E$277/$E$278)/D240</f>
        <v>1.108333333</v>
      </c>
      <c r="G240" s="235">
        <f t="shared" si="6"/>
        <v>1.385416667</v>
      </c>
      <c r="I240" s="233">
        <v>48.0</v>
      </c>
      <c r="J240" s="235">
        <f t="shared" si="7"/>
        <v>0.83125</v>
      </c>
      <c r="K240" s="235">
        <f t="shared" si="8"/>
        <v>1.108333333</v>
      </c>
      <c r="L240" s="235">
        <f t="shared" si="9"/>
        <v>1.385416667</v>
      </c>
      <c r="R240" s="233">
        <v>48.0</v>
      </c>
      <c r="S240" s="235">
        <f t="shared" ref="S240:U240" si="57">IF($R240&gt;$F$177,0.0000000005,J240)</f>
        <v>0.0000000005</v>
      </c>
      <c r="T240" s="235">
        <f t="shared" si="57"/>
        <v>0.0000000005</v>
      </c>
      <c r="U240" s="235">
        <f t="shared" si="57"/>
        <v>0.0000000005</v>
      </c>
      <c r="V240" s="235">
        <f t="shared" si="11"/>
        <v>2.03920403</v>
      </c>
    </row>
    <row r="241" ht="12.0" customHeight="1">
      <c r="B241" s="115">
        <f t="shared" si="4"/>
        <v>53.4</v>
      </c>
      <c r="D241" s="233">
        <v>49.0</v>
      </c>
      <c r="E241" s="235">
        <f t="shared" si="5"/>
        <v>0.8173469388</v>
      </c>
      <c r="F241" s="235">
        <f>($F$184+(D241-VINMAX)*$E$277/$E$278)/D241</f>
        <v>1.089795918</v>
      </c>
      <c r="G241" s="235">
        <f t="shared" si="6"/>
        <v>1.362244898</v>
      </c>
      <c r="I241" s="233">
        <v>49.0</v>
      </c>
      <c r="J241" s="235">
        <f t="shared" si="7"/>
        <v>0.8173469388</v>
      </c>
      <c r="K241" s="235">
        <f t="shared" si="8"/>
        <v>1.089795918</v>
      </c>
      <c r="L241" s="235">
        <f t="shared" si="9"/>
        <v>1.362244898</v>
      </c>
      <c r="R241" s="233">
        <v>49.0</v>
      </c>
      <c r="S241" s="235">
        <f t="shared" ref="S241:U241" si="58">IF($R241&gt;$F$177,0.0000000005,J241)</f>
        <v>0.0000000005</v>
      </c>
      <c r="T241" s="235">
        <f t="shared" si="58"/>
        <v>0.0000000005</v>
      </c>
      <c r="U241" s="235">
        <f t="shared" si="58"/>
        <v>0.0000000005</v>
      </c>
      <c r="V241" s="235">
        <f t="shared" si="11"/>
        <v>1.997587621</v>
      </c>
    </row>
    <row r="242" ht="12.0" customHeight="1">
      <c r="B242" s="115">
        <f t="shared" si="4"/>
        <v>53.6</v>
      </c>
      <c r="D242" s="233">
        <v>50.0</v>
      </c>
      <c r="E242" s="235">
        <f t="shared" si="5"/>
        <v>0.804</v>
      </c>
      <c r="F242" s="235">
        <f>($F$184+(D242-VINMAX)*$E$277/$E$278)/D242</f>
        <v>1.072</v>
      </c>
      <c r="G242" s="235">
        <f t="shared" si="6"/>
        <v>1.34</v>
      </c>
      <c r="I242" s="233">
        <v>50.0</v>
      </c>
      <c r="J242" s="235">
        <f t="shared" si="7"/>
        <v>0.804</v>
      </c>
      <c r="K242" s="235">
        <f t="shared" si="8"/>
        <v>1.072</v>
      </c>
      <c r="L242" s="235">
        <f t="shared" si="9"/>
        <v>1.34</v>
      </c>
      <c r="R242" s="233">
        <v>50.0</v>
      </c>
      <c r="S242" s="235">
        <f t="shared" ref="S242:U242" si="59">IF($R242&gt;$F$177,0.0000000005,J242)</f>
        <v>0.0000000005</v>
      </c>
      <c r="T242" s="235">
        <f t="shared" si="59"/>
        <v>0.0000000005</v>
      </c>
      <c r="U242" s="235">
        <f t="shared" si="59"/>
        <v>0.0000000005</v>
      </c>
      <c r="V242" s="235">
        <f t="shared" si="11"/>
        <v>1.957635868</v>
      </c>
    </row>
    <row r="243" ht="12.0" customHeight="1">
      <c r="B243" s="115">
        <f t="shared" si="4"/>
        <v>53.8</v>
      </c>
      <c r="D243" s="233">
        <v>51.0</v>
      </c>
      <c r="E243" s="235">
        <f t="shared" si="5"/>
        <v>0.7911764706</v>
      </c>
      <c r="F243" s="235">
        <f>($F$184+(D243-VINMAX)*$E$277/$E$278)/D243</f>
        <v>1.054901961</v>
      </c>
      <c r="G243" s="235">
        <f t="shared" si="6"/>
        <v>1.318627451</v>
      </c>
      <c r="I243" s="233">
        <v>51.0</v>
      </c>
      <c r="J243" s="235">
        <f t="shared" si="7"/>
        <v>0.7911764706</v>
      </c>
      <c r="K243" s="235">
        <f t="shared" si="8"/>
        <v>1.054901961</v>
      </c>
      <c r="L243" s="235">
        <f t="shared" si="9"/>
        <v>1.318627451</v>
      </c>
      <c r="R243" s="233">
        <v>51.0</v>
      </c>
      <c r="S243" s="235">
        <f t="shared" ref="S243:U243" si="60">IF($R243&gt;$F$177,0.0000000005,J243)</f>
        <v>0.0000000005</v>
      </c>
      <c r="T243" s="235">
        <f t="shared" si="60"/>
        <v>0.0000000005</v>
      </c>
      <c r="U243" s="235">
        <f t="shared" si="60"/>
        <v>0.0000000005</v>
      </c>
      <c r="V243" s="235">
        <f t="shared" si="11"/>
        <v>1.919250851</v>
      </c>
    </row>
    <row r="244" ht="12.0" customHeight="1">
      <c r="B244" s="115">
        <f t="shared" si="4"/>
        <v>54</v>
      </c>
      <c r="D244" s="233">
        <v>52.0</v>
      </c>
      <c r="E244" s="235">
        <f t="shared" si="5"/>
        <v>0.7788461538</v>
      </c>
      <c r="F244" s="235">
        <f>($F$184+(D244-VINMAX)*$E$277/$E$278)/D244</f>
        <v>1.038461538</v>
      </c>
      <c r="G244" s="235">
        <f t="shared" si="6"/>
        <v>1.298076923</v>
      </c>
      <c r="I244" s="233">
        <v>52.0</v>
      </c>
      <c r="J244" s="235">
        <f t="shared" si="7"/>
        <v>0.7788461538</v>
      </c>
      <c r="K244" s="235">
        <f t="shared" si="8"/>
        <v>1.038461538</v>
      </c>
      <c r="L244" s="235">
        <f t="shared" si="9"/>
        <v>1.298076923</v>
      </c>
      <c r="R244" s="233">
        <v>52.0</v>
      </c>
      <c r="S244" s="235">
        <f t="shared" ref="S244:U244" si="61">IF($R244&gt;$F$177,0.0000000005,J244)</f>
        <v>0.0000000005</v>
      </c>
      <c r="T244" s="235">
        <f t="shared" si="61"/>
        <v>0.0000000005</v>
      </c>
      <c r="U244" s="235">
        <f t="shared" si="61"/>
        <v>0.0000000005</v>
      </c>
      <c r="V244" s="235">
        <f t="shared" si="11"/>
        <v>1.882342181</v>
      </c>
    </row>
    <row r="245" ht="12.0" customHeight="1">
      <c r="B245" s="115">
        <f t="shared" si="4"/>
        <v>54.2</v>
      </c>
      <c r="D245" s="233">
        <v>53.0</v>
      </c>
      <c r="E245" s="235">
        <f t="shared" si="5"/>
        <v>0.7669811321</v>
      </c>
      <c r="F245" s="235">
        <f>($F$184+(D245-VINMAX)*$E$277/$E$278)/D245</f>
        <v>1.022641509</v>
      </c>
      <c r="G245" s="235">
        <f t="shared" si="6"/>
        <v>1.278301887</v>
      </c>
      <c r="I245" s="233">
        <v>53.0</v>
      </c>
      <c r="J245" s="235">
        <f t="shared" si="7"/>
        <v>0.7669811321</v>
      </c>
      <c r="K245" s="235">
        <f t="shared" si="8"/>
        <v>1.022641509</v>
      </c>
      <c r="L245" s="235">
        <f t="shared" si="9"/>
        <v>1.278301887</v>
      </c>
      <c r="R245" s="233">
        <v>53.0</v>
      </c>
      <c r="S245" s="235">
        <f t="shared" ref="S245:U245" si="62">IF($R245&gt;$F$177,0.0000000005,J245)</f>
        <v>0.0000000005</v>
      </c>
      <c r="T245" s="235">
        <f t="shared" si="62"/>
        <v>0.0000000005</v>
      </c>
      <c r="U245" s="235">
        <f t="shared" si="62"/>
        <v>0.0000000005</v>
      </c>
      <c r="V245" s="235">
        <f t="shared" si="11"/>
        <v>1.846826291</v>
      </c>
    </row>
    <row r="246" ht="12.0" customHeight="1">
      <c r="B246" s="115">
        <f t="shared" si="4"/>
        <v>54.4</v>
      </c>
      <c r="D246" s="233">
        <v>54.0</v>
      </c>
      <c r="E246" s="235">
        <f t="shared" si="5"/>
        <v>0.7555555556</v>
      </c>
      <c r="F246" s="235">
        <f>($F$184+(D246-VINMAX)*$E$277/$E$278)/D246</f>
        <v>1.007407407</v>
      </c>
      <c r="G246" s="235">
        <f t="shared" si="6"/>
        <v>1.259259259</v>
      </c>
      <c r="I246" s="233">
        <v>54.0</v>
      </c>
      <c r="J246" s="235">
        <f t="shared" si="7"/>
        <v>0.7555555556</v>
      </c>
      <c r="K246" s="235">
        <f t="shared" si="8"/>
        <v>1.007407407</v>
      </c>
      <c r="L246" s="235">
        <f t="shared" si="9"/>
        <v>1.259259259</v>
      </c>
      <c r="R246" s="233">
        <v>54.0</v>
      </c>
      <c r="S246" s="235">
        <f t="shared" ref="S246:U246" si="63">IF($R246&gt;$F$177,0.0000000005,J246)</f>
        <v>0.0000000005</v>
      </c>
      <c r="T246" s="235">
        <f t="shared" si="63"/>
        <v>0.0000000005</v>
      </c>
      <c r="U246" s="235">
        <f t="shared" si="63"/>
        <v>0.0000000005</v>
      </c>
      <c r="V246" s="235">
        <f t="shared" si="11"/>
        <v>1.812625804</v>
      </c>
    </row>
    <row r="247" ht="12.0" customHeight="1">
      <c r="B247" s="115">
        <f t="shared" si="4"/>
        <v>54.6</v>
      </c>
      <c r="D247" s="233">
        <v>55.0</v>
      </c>
      <c r="E247" s="235">
        <f t="shared" si="5"/>
        <v>0.7445454545</v>
      </c>
      <c r="F247" s="235">
        <f>($F$184+(D247-VINMAX)*$E$277/$E$278)/D247</f>
        <v>0.9927272727</v>
      </c>
      <c r="G247" s="235">
        <f t="shared" si="6"/>
        <v>1.240909091</v>
      </c>
      <c r="I247" s="233">
        <v>55.0</v>
      </c>
      <c r="J247" s="235">
        <f t="shared" si="7"/>
        <v>0.7445454545</v>
      </c>
      <c r="K247" s="235">
        <f t="shared" si="8"/>
        <v>0.9927272727</v>
      </c>
      <c r="L247" s="235">
        <f t="shared" si="9"/>
        <v>1.240909091</v>
      </c>
      <c r="R247" s="233">
        <v>55.0</v>
      </c>
      <c r="S247" s="235">
        <f t="shared" ref="S247:U247" si="64">IF($R247&gt;$F$177,0.0000000005,J247)</f>
        <v>0.0000000005</v>
      </c>
      <c r="T247" s="235">
        <f t="shared" si="64"/>
        <v>0.0000000005</v>
      </c>
      <c r="U247" s="235">
        <f t="shared" si="64"/>
        <v>0.0000000005</v>
      </c>
      <c r="V247" s="235">
        <f t="shared" si="11"/>
        <v>1.779668971</v>
      </c>
    </row>
    <row r="248" ht="12.0" customHeight="1">
      <c r="B248" s="115">
        <f t="shared" si="4"/>
        <v>54.8</v>
      </c>
      <c r="D248" s="233">
        <v>56.0</v>
      </c>
      <c r="E248" s="235">
        <f t="shared" si="5"/>
        <v>0.7339285714</v>
      </c>
      <c r="F248" s="235">
        <f>($F$184+(D248-VINMAX)*$E$277/$E$278)/D248</f>
        <v>0.9785714286</v>
      </c>
      <c r="G248" s="235">
        <f t="shared" si="6"/>
        <v>1.223214286</v>
      </c>
      <c r="I248" s="233">
        <v>56.0</v>
      </c>
      <c r="J248" s="235">
        <f t="shared" si="7"/>
        <v>0.7339285714</v>
      </c>
      <c r="K248" s="235">
        <f t="shared" si="8"/>
        <v>0.9785714286</v>
      </c>
      <c r="L248" s="235">
        <f t="shared" si="9"/>
        <v>1.223214286</v>
      </c>
      <c r="R248" s="233">
        <v>56.0</v>
      </c>
      <c r="S248" s="235">
        <f t="shared" ref="S248:U248" si="65">IF($R248&gt;$F$177,0.0000000005,J248)</f>
        <v>0.0000000005</v>
      </c>
      <c r="T248" s="235">
        <f t="shared" si="65"/>
        <v>0.0000000005</v>
      </c>
      <c r="U248" s="235">
        <f t="shared" si="65"/>
        <v>0.0000000005</v>
      </c>
      <c r="V248" s="235">
        <f t="shared" si="11"/>
        <v>1.747889168</v>
      </c>
    </row>
    <row r="249" ht="12.0" customHeight="1">
      <c r="B249" s="115">
        <f t="shared" si="4"/>
        <v>55</v>
      </c>
      <c r="D249" s="233">
        <v>57.0</v>
      </c>
      <c r="E249" s="235">
        <f t="shared" si="5"/>
        <v>0.7236842105</v>
      </c>
      <c r="F249" s="235">
        <f>($F$184+(D249-VINMAX)*$E$277/$E$278)/D249</f>
        <v>0.9649122807</v>
      </c>
      <c r="G249" s="235">
        <f t="shared" si="6"/>
        <v>1.206140351</v>
      </c>
      <c r="I249" s="233">
        <v>57.0</v>
      </c>
      <c r="J249" s="235">
        <f t="shared" si="7"/>
        <v>0.7236842105</v>
      </c>
      <c r="K249" s="235">
        <f t="shared" si="8"/>
        <v>0.9649122807</v>
      </c>
      <c r="L249" s="235">
        <f t="shared" si="9"/>
        <v>1.206140351</v>
      </c>
      <c r="R249" s="233">
        <v>57.0</v>
      </c>
      <c r="S249" s="235">
        <f t="shared" ref="S249:U249" si="66">IF($R249&gt;$F$177,0.0000000005,J249)</f>
        <v>0.0000000005</v>
      </c>
      <c r="T249" s="235">
        <f t="shared" si="66"/>
        <v>0.0000000005</v>
      </c>
      <c r="U249" s="235">
        <f t="shared" si="66"/>
        <v>0.0000000005</v>
      </c>
      <c r="V249" s="235">
        <f t="shared" si="11"/>
        <v>1.717224446</v>
      </c>
    </row>
    <row r="250" ht="12.0" customHeight="1">
      <c r="B250" s="115">
        <f t="shared" si="4"/>
        <v>55.2</v>
      </c>
      <c r="D250" s="233">
        <v>58.0</v>
      </c>
      <c r="E250" s="235">
        <f t="shared" si="5"/>
        <v>0.7137931034</v>
      </c>
      <c r="F250" s="235">
        <f>($F$184+(D250-VINMAX)*$E$277/$E$278)/D250</f>
        <v>0.9517241379</v>
      </c>
      <c r="G250" s="235">
        <f t="shared" si="6"/>
        <v>1.189655172</v>
      </c>
      <c r="I250" s="233">
        <v>58.0</v>
      </c>
      <c r="J250" s="235">
        <f t="shared" si="7"/>
        <v>0.7137931034</v>
      </c>
      <c r="K250" s="235">
        <f t="shared" si="8"/>
        <v>0.9517241379</v>
      </c>
      <c r="L250" s="235">
        <f t="shared" si="9"/>
        <v>1.189655172</v>
      </c>
      <c r="R250" s="233">
        <v>58.0</v>
      </c>
      <c r="S250" s="235">
        <f t="shared" ref="S250:U250" si="67">IF($R250&gt;$F$177,0.0000000005,J250)</f>
        <v>0.0000000005</v>
      </c>
      <c r="T250" s="235">
        <f t="shared" si="67"/>
        <v>0.0000000005</v>
      </c>
      <c r="U250" s="235">
        <f t="shared" si="67"/>
        <v>0.0000000005</v>
      </c>
      <c r="V250" s="235">
        <f t="shared" si="11"/>
        <v>1.687617128</v>
      </c>
    </row>
    <row r="251" ht="12.0" customHeight="1">
      <c r="B251" s="115">
        <f t="shared" si="4"/>
        <v>55.4</v>
      </c>
      <c r="D251" s="233">
        <v>59.0</v>
      </c>
      <c r="E251" s="235">
        <f t="shared" si="5"/>
        <v>0.7042372881</v>
      </c>
      <c r="F251" s="235">
        <f>($F$184+(D251-VINMAX)*$E$277/$E$278)/D251</f>
        <v>0.9389830508</v>
      </c>
      <c r="G251" s="235">
        <f t="shared" si="6"/>
        <v>1.173728814</v>
      </c>
      <c r="I251" s="233">
        <v>59.0</v>
      </c>
      <c r="J251" s="235">
        <f t="shared" si="7"/>
        <v>0.7042372881</v>
      </c>
      <c r="K251" s="235">
        <f t="shared" si="8"/>
        <v>0.9389830508</v>
      </c>
      <c r="L251" s="235">
        <f t="shared" si="9"/>
        <v>1.173728814</v>
      </c>
      <c r="R251" s="233">
        <v>59.0</v>
      </c>
      <c r="S251" s="235">
        <f t="shared" ref="S251:U251" si="68">IF($R251&gt;$F$177,0.0000000005,J251)</f>
        <v>0.0000000005</v>
      </c>
      <c r="T251" s="235">
        <f t="shared" si="68"/>
        <v>0.0000000005</v>
      </c>
      <c r="U251" s="235">
        <f t="shared" si="68"/>
        <v>0.0000000005</v>
      </c>
      <c r="V251" s="235">
        <f t="shared" si="11"/>
        <v>1.659013448</v>
      </c>
    </row>
    <row r="252" ht="12.0" customHeight="1">
      <c r="B252" s="115">
        <f t="shared" si="4"/>
        <v>55.6</v>
      </c>
      <c r="D252" s="233">
        <v>60.0</v>
      </c>
      <c r="E252" s="235">
        <f t="shared" si="5"/>
        <v>0.695</v>
      </c>
      <c r="F252" s="235">
        <f>($F$184+(D252-VINMAX)*$E$277/$E$278)/D252</f>
        <v>0.9266666667</v>
      </c>
      <c r="G252" s="235">
        <f t="shared" si="6"/>
        <v>1.158333333</v>
      </c>
      <c r="I252" s="233">
        <v>60.0</v>
      </c>
      <c r="J252" s="235">
        <f t="shared" si="7"/>
        <v>0.695</v>
      </c>
      <c r="K252" s="235">
        <f t="shared" si="8"/>
        <v>0.9266666667</v>
      </c>
      <c r="L252" s="235">
        <f t="shared" si="9"/>
        <v>1.158333333</v>
      </c>
      <c r="R252" s="233">
        <v>60.0</v>
      </c>
      <c r="S252" s="235">
        <f t="shared" ref="S252:U252" si="69">IF($R252&gt;$F$177,0.0000000005,J252)</f>
        <v>0.0000000005</v>
      </c>
      <c r="T252" s="235">
        <f t="shared" si="69"/>
        <v>0.0000000005</v>
      </c>
      <c r="U252" s="235">
        <f t="shared" si="69"/>
        <v>0.0000000005</v>
      </c>
      <c r="V252" s="235">
        <f t="shared" si="11"/>
        <v>1.631363224</v>
      </c>
    </row>
    <row r="253" ht="12.0" customHeight="1">
      <c r="B253" s="115">
        <f t="shared" si="4"/>
        <v>55.8</v>
      </c>
      <c r="D253" s="233">
        <v>61.0</v>
      </c>
      <c r="E253" s="235">
        <f t="shared" si="5"/>
        <v>0.6860655738</v>
      </c>
      <c r="F253" s="235">
        <f>($F$184+(D253-VINMAX)*$E$277/$E$278)/D253</f>
        <v>0.9147540984</v>
      </c>
      <c r="G253" s="235">
        <f t="shared" si="6"/>
        <v>1.143442623</v>
      </c>
      <c r="I253" s="233">
        <v>61.0</v>
      </c>
      <c r="J253" s="235">
        <f t="shared" si="7"/>
        <v>0.6860655738</v>
      </c>
      <c r="K253" s="235">
        <f t="shared" si="8"/>
        <v>0.9147540984</v>
      </c>
      <c r="L253" s="235">
        <f t="shared" si="9"/>
        <v>1.143442623</v>
      </c>
      <c r="R253" s="233">
        <v>61.0</v>
      </c>
      <c r="S253" s="235">
        <f t="shared" ref="S253:U253" si="70">IF($R253&gt;$F$177,0.0000000005,J253)</f>
        <v>0.0000000005</v>
      </c>
      <c r="T253" s="235">
        <f t="shared" si="70"/>
        <v>0.0000000005</v>
      </c>
      <c r="U253" s="235">
        <f t="shared" si="70"/>
        <v>0.0000000005</v>
      </c>
      <c r="V253" s="235">
        <f t="shared" si="11"/>
        <v>1.604619564</v>
      </c>
    </row>
    <row r="254" ht="12.0" customHeight="1">
      <c r="B254" s="115">
        <f t="shared" si="4"/>
        <v>56</v>
      </c>
      <c r="D254" s="233">
        <v>62.0</v>
      </c>
      <c r="E254" s="235">
        <f t="shared" si="5"/>
        <v>0.6774193548</v>
      </c>
      <c r="F254" s="235">
        <f>($F$184+(D254-VINMAX)*$E$277/$E$278)/D254</f>
        <v>0.9032258065</v>
      </c>
      <c r="G254" s="235">
        <f t="shared" si="6"/>
        <v>1.129032258</v>
      </c>
      <c r="I254" s="233">
        <v>62.0</v>
      </c>
      <c r="J254" s="235">
        <f t="shared" si="7"/>
        <v>0.6774193548</v>
      </c>
      <c r="K254" s="235">
        <f t="shared" si="8"/>
        <v>0.9032258065</v>
      </c>
      <c r="L254" s="235">
        <f t="shared" si="9"/>
        <v>1.129032258</v>
      </c>
      <c r="R254" s="233">
        <v>62.0</v>
      </c>
      <c r="S254" s="235">
        <f t="shared" ref="S254:U254" si="71">IF($R254&gt;$F$177,0.0000000005,J254)</f>
        <v>0.0000000005</v>
      </c>
      <c r="T254" s="235">
        <f t="shared" si="71"/>
        <v>0.0000000005</v>
      </c>
      <c r="U254" s="235">
        <f t="shared" si="71"/>
        <v>0.0000000005</v>
      </c>
      <c r="V254" s="235">
        <f t="shared" si="11"/>
        <v>1.578738604</v>
      </c>
    </row>
    <row r="255" ht="12.0" customHeight="1">
      <c r="B255" s="115">
        <f t="shared" si="4"/>
        <v>56.2</v>
      </c>
      <c r="D255" s="233">
        <v>63.0</v>
      </c>
      <c r="E255" s="235">
        <f t="shared" si="5"/>
        <v>0.669047619</v>
      </c>
      <c r="F255" s="235">
        <f>($F$184+(D255-VINMAX)*$E$277/$E$278)/D255</f>
        <v>0.8920634921</v>
      </c>
      <c r="G255" s="235">
        <f t="shared" si="6"/>
        <v>1.115079365</v>
      </c>
      <c r="I255" s="233">
        <v>63.0</v>
      </c>
      <c r="J255" s="235">
        <f t="shared" si="7"/>
        <v>0.669047619</v>
      </c>
      <c r="K255" s="235">
        <f t="shared" si="8"/>
        <v>0.8920634921</v>
      </c>
      <c r="L255" s="235">
        <f t="shared" si="9"/>
        <v>1.115079365</v>
      </c>
      <c r="R255" s="233">
        <v>63.0</v>
      </c>
      <c r="S255" s="235">
        <f t="shared" ref="S255:U255" si="72">IF($R255&gt;$F$177,0.0000000005,J255)</f>
        <v>0.0000000005</v>
      </c>
      <c r="T255" s="235">
        <f t="shared" si="72"/>
        <v>0.0000000005</v>
      </c>
      <c r="U255" s="235">
        <f t="shared" si="72"/>
        <v>0.0000000005</v>
      </c>
      <c r="V255" s="235">
        <f t="shared" si="11"/>
        <v>1.553679261</v>
      </c>
    </row>
    <row r="256" ht="12.0" customHeight="1">
      <c r="B256" s="115">
        <f t="shared" si="4"/>
        <v>56.4</v>
      </c>
      <c r="D256" s="233">
        <v>64.0</v>
      </c>
      <c r="E256" s="235">
        <f t="shared" si="5"/>
        <v>0.6609375</v>
      </c>
      <c r="F256" s="235">
        <f>($F$184+(D256-VINMAX)*$E$277/$E$278)/D256</f>
        <v>0.88125</v>
      </c>
      <c r="G256" s="235">
        <f t="shared" si="6"/>
        <v>1.1015625</v>
      </c>
      <c r="I256" s="233">
        <v>64.0</v>
      </c>
      <c r="J256" s="235">
        <f t="shared" si="7"/>
        <v>0.6609375</v>
      </c>
      <c r="K256" s="235">
        <f t="shared" si="8"/>
        <v>0.88125</v>
      </c>
      <c r="L256" s="235">
        <f t="shared" si="9"/>
        <v>1.1015625</v>
      </c>
      <c r="R256" s="233">
        <v>64.0</v>
      </c>
      <c r="S256" s="235">
        <f t="shared" ref="S256:U256" si="73">IF($R256&gt;$F$177,0.0000000005,J256)</f>
        <v>0.0000000005</v>
      </c>
      <c r="T256" s="235">
        <f t="shared" si="73"/>
        <v>0.0000000005</v>
      </c>
      <c r="U256" s="235">
        <f t="shared" si="73"/>
        <v>0.0000000005</v>
      </c>
      <c r="V256" s="235">
        <f t="shared" si="11"/>
        <v>1.529403022</v>
      </c>
    </row>
    <row r="257" ht="12.0" customHeight="1">
      <c r="B257" s="115">
        <f t="shared" si="4"/>
        <v>56.6</v>
      </c>
      <c r="D257" s="233">
        <v>65.0</v>
      </c>
      <c r="E257" s="235">
        <f t="shared" si="5"/>
        <v>0.6530769231</v>
      </c>
      <c r="F257" s="235">
        <f>($F$184+(D257-VINMAX)*$E$277/$E$278)/D257</f>
        <v>0.8707692308</v>
      </c>
      <c r="G257" s="235">
        <f t="shared" si="6"/>
        <v>1.088461538</v>
      </c>
      <c r="I257" s="233">
        <v>65.0</v>
      </c>
      <c r="J257" s="235">
        <f t="shared" si="7"/>
        <v>0.6530769231</v>
      </c>
      <c r="K257" s="235">
        <f t="shared" si="8"/>
        <v>0.8707692308</v>
      </c>
      <c r="L257" s="235">
        <f t="shared" si="9"/>
        <v>1.088461538</v>
      </c>
      <c r="R257" s="233">
        <v>65.0</v>
      </c>
      <c r="S257" s="235">
        <f t="shared" ref="S257:U257" si="74">IF($R257&gt;$F$177,0.0000000005,J257)</f>
        <v>0.0000000005</v>
      </c>
      <c r="T257" s="235">
        <f t="shared" si="74"/>
        <v>0.0000000005</v>
      </c>
      <c r="U257" s="235">
        <f t="shared" si="74"/>
        <v>0.0000000005</v>
      </c>
      <c r="V257" s="235">
        <f t="shared" si="11"/>
        <v>1.505873745</v>
      </c>
    </row>
    <row r="258" ht="12.0" customHeight="1">
      <c r="B258" s="115">
        <f t="shared" si="4"/>
        <v>56.8</v>
      </c>
      <c r="D258" s="233">
        <v>66.0</v>
      </c>
      <c r="E258" s="235">
        <f t="shared" si="5"/>
        <v>0.6454545455</v>
      </c>
      <c r="F258" s="235">
        <f>($F$184+(D258-VINMAX)*$E$277/$E$278)/D258</f>
        <v>0.8606060606</v>
      </c>
      <c r="G258" s="235">
        <f t="shared" si="6"/>
        <v>1.075757576</v>
      </c>
      <c r="I258" s="233">
        <v>66.0</v>
      </c>
      <c r="J258" s="235">
        <f t="shared" si="7"/>
        <v>0.6454545455</v>
      </c>
      <c r="K258" s="235">
        <f t="shared" si="8"/>
        <v>0.8606060606</v>
      </c>
      <c r="L258" s="235">
        <f t="shared" si="9"/>
        <v>1.075757576</v>
      </c>
      <c r="R258" s="233">
        <v>66.0</v>
      </c>
      <c r="S258" s="235">
        <f t="shared" ref="S258:U258" si="75">IF($R258&gt;$F$177,0.0000000005,J258)</f>
        <v>0.0000000005</v>
      </c>
      <c r="T258" s="235">
        <f t="shared" si="75"/>
        <v>0.0000000005</v>
      </c>
      <c r="U258" s="235">
        <f t="shared" si="75"/>
        <v>0.0000000005</v>
      </c>
      <c r="V258" s="235">
        <f t="shared" si="11"/>
        <v>1.483057476</v>
      </c>
    </row>
    <row r="259" ht="12.0" customHeight="1">
      <c r="B259" s="115">
        <f t="shared" si="4"/>
        <v>57</v>
      </c>
      <c r="D259" s="233">
        <v>67.0</v>
      </c>
      <c r="E259" s="235">
        <f t="shared" si="5"/>
        <v>0.6380597015</v>
      </c>
      <c r="F259" s="235">
        <f>($F$184+(D259-VINMAX)*$E$277/$E$278)/D259</f>
        <v>0.8507462687</v>
      </c>
      <c r="G259" s="235">
        <f t="shared" si="6"/>
        <v>1.063432836</v>
      </c>
      <c r="I259" s="233">
        <v>67.0</v>
      </c>
      <c r="J259" s="235">
        <f t="shared" si="7"/>
        <v>0.6380597015</v>
      </c>
      <c r="K259" s="235">
        <f t="shared" si="8"/>
        <v>0.8507462687</v>
      </c>
      <c r="L259" s="235">
        <f t="shared" si="9"/>
        <v>1.063432836</v>
      </c>
      <c r="R259" s="233">
        <v>67.0</v>
      </c>
      <c r="S259" s="235">
        <f t="shared" ref="S259:U259" si="76">IF($R259&gt;$F$177,0.0000000005,J259)</f>
        <v>0.0000000005</v>
      </c>
      <c r="T259" s="235">
        <f t="shared" si="76"/>
        <v>0.0000000005</v>
      </c>
      <c r="U259" s="235">
        <f t="shared" si="76"/>
        <v>0.0000000005</v>
      </c>
      <c r="V259" s="235">
        <f t="shared" si="11"/>
        <v>1.46092229</v>
      </c>
    </row>
    <row r="260" ht="12.0" customHeight="1">
      <c r="B260" s="115">
        <f t="shared" si="4"/>
        <v>57.2</v>
      </c>
      <c r="D260" s="233">
        <v>68.0</v>
      </c>
      <c r="E260" s="235">
        <f t="shared" si="5"/>
        <v>0.6308823529</v>
      </c>
      <c r="F260" s="235">
        <f>($F$184+(D260-VINMAX)*$E$277/$E$278)/D260</f>
        <v>0.8411764706</v>
      </c>
      <c r="G260" s="235">
        <f t="shared" si="6"/>
        <v>1.051470588</v>
      </c>
      <c r="I260" s="233">
        <v>68.0</v>
      </c>
      <c r="J260" s="235">
        <f t="shared" si="7"/>
        <v>0.6308823529</v>
      </c>
      <c r="K260" s="235">
        <f t="shared" si="8"/>
        <v>0.8411764706</v>
      </c>
      <c r="L260" s="235">
        <f t="shared" si="9"/>
        <v>1.051470588</v>
      </c>
      <c r="R260" s="233">
        <v>68.0</v>
      </c>
      <c r="S260" s="235">
        <f t="shared" ref="S260:U260" si="77">IF($R260&gt;$F$177,0.0000000005,J260)</f>
        <v>0.0000000005</v>
      </c>
      <c r="T260" s="235">
        <f t="shared" si="77"/>
        <v>0.0000000005</v>
      </c>
      <c r="U260" s="235">
        <f t="shared" si="77"/>
        <v>0.0000000005</v>
      </c>
      <c r="V260" s="235">
        <f t="shared" si="11"/>
        <v>1.439438139</v>
      </c>
    </row>
    <row r="261" ht="12.0" customHeight="1">
      <c r="B261" s="115">
        <f t="shared" si="4"/>
        <v>57.4</v>
      </c>
      <c r="D261" s="233">
        <v>69.0</v>
      </c>
      <c r="E261" s="235">
        <f t="shared" si="5"/>
        <v>0.6239130435</v>
      </c>
      <c r="F261" s="235">
        <f>($F$184+(D261-VINMAX)*$E$277/$E$278)/D261</f>
        <v>0.831884058</v>
      </c>
      <c r="G261" s="235">
        <f t="shared" si="6"/>
        <v>1.039855072</v>
      </c>
      <c r="I261" s="233">
        <v>69.0</v>
      </c>
      <c r="J261" s="235">
        <f t="shared" si="7"/>
        <v>0.6239130435</v>
      </c>
      <c r="K261" s="235">
        <f t="shared" si="8"/>
        <v>0.831884058</v>
      </c>
      <c r="L261" s="235">
        <f t="shared" si="9"/>
        <v>1.039855072</v>
      </c>
      <c r="R261" s="233">
        <v>69.0</v>
      </c>
      <c r="S261" s="235">
        <f t="shared" ref="S261:U261" si="78">IF($R261&gt;$F$177,0.0000000005,J261)</f>
        <v>0.0000000005</v>
      </c>
      <c r="T261" s="235">
        <f t="shared" si="78"/>
        <v>0.0000000005</v>
      </c>
      <c r="U261" s="235">
        <f t="shared" si="78"/>
        <v>0.0000000005</v>
      </c>
      <c r="V261" s="235">
        <f t="shared" si="11"/>
        <v>1.418576716</v>
      </c>
    </row>
    <row r="262" ht="12.0" customHeight="1">
      <c r="B262" s="115">
        <f t="shared" si="4"/>
        <v>57.6</v>
      </c>
      <c r="D262" s="233">
        <v>70.0</v>
      </c>
      <c r="E262" s="235">
        <f t="shared" si="5"/>
        <v>0.6171428571</v>
      </c>
      <c r="F262" s="235">
        <f>($F$184+(D262-VINMAX)*$E$277/$E$278)/D262</f>
        <v>0.8228571429</v>
      </c>
      <c r="G262" s="235">
        <f t="shared" si="6"/>
        <v>1.028571429</v>
      </c>
      <c r="I262" s="233">
        <v>70.0</v>
      </c>
      <c r="J262" s="235">
        <f t="shared" si="7"/>
        <v>0.6171428571</v>
      </c>
      <c r="K262" s="235">
        <f t="shared" si="8"/>
        <v>0.8228571429</v>
      </c>
      <c r="L262" s="235">
        <f t="shared" si="9"/>
        <v>1.028571429</v>
      </c>
      <c r="R262" s="233">
        <v>70.0</v>
      </c>
      <c r="S262" s="235">
        <f t="shared" ref="S262:U262" si="79">IF($R262&gt;$F$177,0.0000000005,J262)</f>
        <v>0.0000000005</v>
      </c>
      <c r="T262" s="235">
        <f t="shared" si="79"/>
        <v>0.0000000005</v>
      </c>
      <c r="U262" s="235">
        <f t="shared" si="79"/>
        <v>0.0000000005</v>
      </c>
      <c r="V262" s="235">
        <f t="shared" si="11"/>
        <v>1.398311335</v>
      </c>
    </row>
    <row r="263" ht="12.0" customHeight="1">
      <c r="B263" s="115">
        <f t="shared" si="4"/>
        <v>57.8</v>
      </c>
      <c r="D263" s="233">
        <v>71.0</v>
      </c>
      <c r="E263" s="235">
        <f t="shared" si="5"/>
        <v>0.6105633803</v>
      </c>
      <c r="F263" s="235">
        <f>($F$184+(D263-VINMAX)*$E$277/$E$278)/D263</f>
        <v>0.814084507</v>
      </c>
      <c r="G263" s="235">
        <f t="shared" si="6"/>
        <v>1.017605634</v>
      </c>
      <c r="I263" s="233">
        <v>71.0</v>
      </c>
      <c r="J263" s="235">
        <f t="shared" si="7"/>
        <v>0.6105633803</v>
      </c>
      <c r="K263" s="235">
        <f t="shared" si="8"/>
        <v>0.814084507</v>
      </c>
      <c r="L263" s="235">
        <f t="shared" si="9"/>
        <v>1.017605634</v>
      </c>
      <c r="R263" s="233">
        <v>71.0</v>
      </c>
      <c r="S263" s="235">
        <f t="shared" ref="S263:U263" si="80">IF($R263&gt;$F$177,0.0000000005,J263)</f>
        <v>0.0000000005</v>
      </c>
      <c r="T263" s="235">
        <f t="shared" si="80"/>
        <v>0.0000000005</v>
      </c>
      <c r="U263" s="235">
        <f t="shared" si="80"/>
        <v>0.0000000005</v>
      </c>
      <c r="V263" s="235">
        <f t="shared" si="11"/>
        <v>1.378616809</v>
      </c>
    </row>
    <row r="264" ht="12.0" customHeight="1">
      <c r="B264" s="115">
        <f t="shared" si="4"/>
        <v>58</v>
      </c>
      <c r="D264" s="233">
        <v>72.0</v>
      </c>
      <c r="E264" s="235">
        <f t="shared" si="5"/>
        <v>0.6041666667</v>
      </c>
      <c r="F264" s="235">
        <f>($F$184+(D264-VINMAX)*$E$277/$E$278)/D264</f>
        <v>0.8055555556</v>
      </c>
      <c r="G264" s="235">
        <f t="shared" si="6"/>
        <v>1.006944444</v>
      </c>
      <c r="I264" s="233">
        <v>72.0</v>
      </c>
      <c r="J264" s="235">
        <f t="shared" si="7"/>
        <v>0.6041666667</v>
      </c>
      <c r="K264" s="235">
        <f t="shared" si="8"/>
        <v>0.8055555556</v>
      </c>
      <c r="L264" s="235">
        <f t="shared" si="9"/>
        <v>1.006944444</v>
      </c>
      <c r="R264" s="233">
        <v>72.0</v>
      </c>
      <c r="S264" s="235">
        <f t="shared" ref="S264:U264" si="81">IF($R264&gt;$F$177,0.0000000005,J264)</f>
        <v>0.0000000005</v>
      </c>
      <c r="T264" s="235">
        <f t="shared" si="81"/>
        <v>0.0000000005</v>
      </c>
      <c r="U264" s="235">
        <f t="shared" si="81"/>
        <v>0.0000000005</v>
      </c>
      <c r="V264" s="235">
        <f t="shared" si="11"/>
        <v>1.359469353</v>
      </c>
    </row>
    <row r="265" ht="12.0" customHeight="1">
      <c r="B265" s="115">
        <f t="shared" si="4"/>
        <v>58.2</v>
      </c>
      <c r="D265" s="233">
        <v>73.0</v>
      </c>
      <c r="E265" s="235">
        <f t="shared" si="5"/>
        <v>0.5979452055</v>
      </c>
      <c r="F265" s="235">
        <f>($F$184+(D265-VINMAX)*$E$277/$E$278)/D265</f>
        <v>0.797260274</v>
      </c>
      <c r="G265" s="235">
        <f t="shared" si="6"/>
        <v>0.9965753425</v>
      </c>
      <c r="I265" s="233">
        <v>73.0</v>
      </c>
      <c r="J265" s="235">
        <f t="shared" si="7"/>
        <v>0.5979452055</v>
      </c>
      <c r="K265" s="235">
        <f t="shared" si="8"/>
        <v>0.797260274</v>
      </c>
      <c r="L265" s="235">
        <f t="shared" si="9"/>
        <v>0.9965753425</v>
      </c>
      <c r="R265" s="233">
        <v>73.0</v>
      </c>
      <c r="S265" s="235">
        <f t="shared" ref="S265:U265" si="82">IF($R265&gt;$F$177,0.0000000005,J265)</f>
        <v>0.0000000005</v>
      </c>
      <c r="T265" s="235">
        <f t="shared" si="82"/>
        <v>0.0000000005</v>
      </c>
      <c r="U265" s="235">
        <f t="shared" si="82"/>
        <v>0.0000000005</v>
      </c>
      <c r="V265" s="235">
        <f t="shared" si="11"/>
        <v>1.340846485</v>
      </c>
    </row>
    <row r="266" ht="12.0" customHeight="1">
      <c r="B266" s="115">
        <f t="shared" si="4"/>
        <v>58.4</v>
      </c>
      <c r="D266" s="233">
        <v>74.0</v>
      </c>
      <c r="E266" s="235">
        <f t="shared" si="5"/>
        <v>0.5918918919</v>
      </c>
      <c r="F266" s="235">
        <f>($F$184+(D266-VINMAX)*$E$277/$E$278)/D266</f>
        <v>0.7891891892</v>
      </c>
      <c r="G266" s="235">
        <f t="shared" si="6"/>
        <v>0.9864864865</v>
      </c>
      <c r="I266" s="233">
        <v>74.0</v>
      </c>
      <c r="J266" s="235">
        <f t="shared" si="7"/>
        <v>0.5918918919</v>
      </c>
      <c r="K266" s="235">
        <f t="shared" si="8"/>
        <v>0.7891891892</v>
      </c>
      <c r="L266" s="235">
        <f t="shared" si="9"/>
        <v>0.9864864865</v>
      </c>
      <c r="R266" s="233">
        <v>74.0</v>
      </c>
      <c r="S266" s="235">
        <f t="shared" ref="S266:U266" si="83">IF($R266&gt;$F$177,0.0000000005,J266)</f>
        <v>0.0000000005</v>
      </c>
      <c r="T266" s="235">
        <f t="shared" si="83"/>
        <v>0.0000000005</v>
      </c>
      <c r="U266" s="235">
        <f t="shared" si="83"/>
        <v>0.0000000005</v>
      </c>
      <c r="V266" s="235">
        <f t="shared" si="11"/>
        <v>1.322726938</v>
      </c>
    </row>
    <row r="267" ht="12.0" customHeight="1">
      <c r="B267" s="115">
        <f t="shared" si="4"/>
        <v>58.6</v>
      </c>
      <c r="D267" s="233">
        <v>75.0</v>
      </c>
      <c r="E267" s="235">
        <f t="shared" si="5"/>
        <v>0.586</v>
      </c>
      <c r="F267" s="235">
        <f>($F$184+(D267-VINMAX)*$E$277/$E$278)/D267</f>
        <v>0.7813333333</v>
      </c>
      <c r="G267" s="235">
        <f t="shared" si="6"/>
        <v>0.9766666667</v>
      </c>
      <c r="I267" s="233">
        <v>75.0</v>
      </c>
      <c r="J267" s="235">
        <f t="shared" si="7"/>
        <v>0.586</v>
      </c>
      <c r="K267" s="235">
        <f t="shared" si="8"/>
        <v>0.7813333333</v>
      </c>
      <c r="L267" s="235">
        <f t="shared" si="9"/>
        <v>0.9766666667</v>
      </c>
      <c r="R267" s="233">
        <v>75.0</v>
      </c>
      <c r="S267" s="235">
        <f t="shared" ref="S267:U267" si="84">IF($R267&gt;$F$177,0.0000000005,J267)</f>
        <v>0.0000000005</v>
      </c>
      <c r="T267" s="235">
        <f t="shared" si="84"/>
        <v>0.0000000005</v>
      </c>
      <c r="U267" s="235">
        <f t="shared" si="84"/>
        <v>0.0000000005</v>
      </c>
      <c r="V267" s="235">
        <f t="shared" si="11"/>
        <v>1.305090579</v>
      </c>
    </row>
    <row r="268" ht="12.0" customHeight="1">
      <c r="B268" s="115">
        <f t="shared" si="4"/>
        <v>58.8</v>
      </c>
      <c r="D268" s="233">
        <v>76.0</v>
      </c>
      <c r="E268" s="235">
        <f t="shared" si="5"/>
        <v>0.5802631579</v>
      </c>
      <c r="F268" s="235">
        <f>($F$184+(D268-VINMAX)*$E$277/$E$278)/D268</f>
        <v>0.7736842105</v>
      </c>
      <c r="G268" s="235">
        <f t="shared" si="6"/>
        <v>0.9671052632</v>
      </c>
      <c r="I268" s="233">
        <v>76.0</v>
      </c>
      <c r="J268" s="235">
        <f t="shared" si="7"/>
        <v>0.5802631579</v>
      </c>
      <c r="K268" s="235">
        <f t="shared" si="8"/>
        <v>0.7736842105</v>
      </c>
      <c r="L268" s="235">
        <f t="shared" si="9"/>
        <v>0.9671052632</v>
      </c>
      <c r="R268" s="233">
        <v>76.0</v>
      </c>
      <c r="S268" s="235">
        <f t="shared" ref="S268:U268" si="85">IF($R268&gt;$F$177,0.0000000005,J268)</f>
        <v>0.0000000005</v>
      </c>
      <c r="T268" s="235">
        <f t="shared" si="85"/>
        <v>0.0000000005</v>
      </c>
      <c r="U268" s="235">
        <f t="shared" si="85"/>
        <v>0.0000000005</v>
      </c>
      <c r="V268" s="235">
        <f t="shared" si="11"/>
        <v>1.287918334</v>
      </c>
    </row>
    <row r="269" ht="12.0" customHeight="1">
      <c r="B269" s="115">
        <f t="shared" si="4"/>
        <v>59</v>
      </c>
      <c r="D269" s="233">
        <v>77.0</v>
      </c>
      <c r="E269" s="235">
        <f t="shared" si="5"/>
        <v>0.5746753247</v>
      </c>
      <c r="F269" s="235">
        <f>($F$184+(D269-VINMAX)*$E$277/$E$278)/D269</f>
        <v>0.7662337662</v>
      </c>
      <c r="G269" s="235">
        <f t="shared" si="6"/>
        <v>0.9577922078</v>
      </c>
      <c r="I269" s="233">
        <v>77.0</v>
      </c>
      <c r="J269" s="235">
        <f t="shared" si="7"/>
        <v>0.5746753247</v>
      </c>
      <c r="K269" s="235">
        <f t="shared" si="8"/>
        <v>0.7662337662</v>
      </c>
      <c r="L269" s="235">
        <f t="shared" si="9"/>
        <v>0.9577922078</v>
      </c>
      <c r="R269" s="233">
        <v>77.0</v>
      </c>
      <c r="S269" s="235">
        <f t="shared" ref="S269:U269" si="86">IF($R269&gt;$F$177,0.0000000005,J269)</f>
        <v>0.0000000005</v>
      </c>
      <c r="T269" s="235">
        <f t="shared" si="86"/>
        <v>0.0000000005</v>
      </c>
      <c r="U269" s="235">
        <f t="shared" si="86"/>
        <v>0.0000000005</v>
      </c>
      <c r="V269" s="235">
        <f t="shared" si="11"/>
        <v>1.271192122</v>
      </c>
    </row>
    <row r="270" ht="12.0" customHeight="1">
      <c r="B270" s="115">
        <f t="shared" si="4"/>
        <v>59.2</v>
      </c>
      <c r="D270" s="233">
        <v>78.0</v>
      </c>
      <c r="E270" s="235">
        <f t="shared" si="5"/>
        <v>0.5692307692</v>
      </c>
      <c r="F270" s="235">
        <f>($F$184+(D270-VINMAX)*$E$277/$E$278)/D270</f>
        <v>0.758974359</v>
      </c>
      <c r="G270" s="235">
        <f t="shared" si="6"/>
        <v>0.9487179487</v>
      </c>
      <c r="I270" s="233">
        <v>78.0</v>
      </c>
      <c r="J270" s="235">
        <f t="shared" si="7"/>
        <v>0.5692307692</v>
      </c>
      <c r="K270" s="235">
        <f t="shared" si="8"/>
        <v>0.758974359</v>
      </c>
      <c r="L270" s="235">
        <f t="shared" si="9"/>
        <v>0.9487179487</v>
      </c>
      <c r="R270" s="233">
        <v>78.0</v>
      </c>
      <c r="S270" s="235">
        <f t="shared" ref="S270:U270" si="87">IF($R270&gt;$F$177,0.0000000005,J270)</f>
        <v>0.0000000005</v>
      </c>
      <c r="T270" s="235">
        <f t="shared" si="87"/>
        <v>0.0000000005</v>
      </c>
      <c r="U270" s="235">
        <f t="shared" si="87"/>
        <v>0.0000000005</v>
      </c>
      <c r="V270" s="235">
        <f t="shared" si="11"/>
        <v>1.254894787</v>
      </c>
    </row>
    <row r="271" ht="12.0" customHeight="1">
      <c r="B271" s="115">
        <f t="shared" si="4"/>
        <v>59.4</v>
      </c>
      <c r="D271" s="233">
        <v>79.0</v>
      </c>
      <c r="E271" s="235">
        <f t="shared" si="5"/>
        <v>0.5639240506</v>
      </c>
      <c r="F271" s="235">
        <f>($F$184+(D271-VINMAX)*$E$277/$E$278)/D271</f>
        <v>0.7518987342</v>
      </c>
      <c r="G271" s="235">
        <f t="shared" si="6"/>
        <v>0.9398734177</v>
      </c>
      <c r="I271" s="233">
        <v>79.0</v>
      </c>
      <c r="J271" s="235">
        <f t="shared" si="7"/>
        <v>0.5639240506</v>
      </c>
      <c r="K271" s="235">
        <f t="shared" si="8"/>
        <v>0.7518987342</v>
      </c>
      <c r="L271" s="235">
        <f t="shared" si="9"/>
        <v>0.9398734177</v>
      </c>
      <c r="R271" s="233">
        <v>79.0</v>
      </c>
      <c r="S271" s="235">
        <f t="shared" ref="S271:U271" si="88">IF($R271&gt;$F$177,0.0000000005,J271)</f>
        <v>0.0000000005</v>
      </c>
      <c r="T271" s="235">
        <f t="shared" si="88"/>
        <v>0.0000000005</v>
      </c>
      <c r="U271" s="235">
        <f t="shared" si="88"/>
        <v>0.0000000005</v>
      </c>
      <c r="V271" s="235">
        <f t="shared" si="11"/>
        <v>1.239010043</v>
      </c>
    </row>
    <row r="272" ht="12.0" customHeight="1">
      <c r="B272" s="115">
        <f t="shared" si="4"/>
        <v>59.6</v>
      </c>
      <c r="D272" s="233">
        <v>80.0</v>
      </c>
      <c r="E272" s="235">
        <f t="shared" si="5"/>
        <v>0.55875</v>
      </c>
      <c r="F272" s="235">
        <f>($F$184+(D272-VINMAX)*$E$277/$E$278)/D272</f>
        <v>0.745</v>
      </c>
      <c r="G272" s="235">
        <f t="shared" si="6"/>
        <v>0.93125</v>
      </c>
      <c r="I272" s="233">
        <v>80.0</v>
      </c>
      <c r="J272" s="235">
        <f t="shared" si="7"/>
        <v>0.55875</v>
      </c>
      <c r="K272" s="235">
        <f t="shared" si="8"/>
        <v>0.745</v>
      </c>
      <c r="L272" s="235">
        <f t="shared" si="9"/>
        <v>0.93125</v>
      </c>
      <c r="R272" s="233">
        <v>80.0</v>
      </c>
      <c r="S272" s="235">
        <f t="shared" ref="S272:U272" si="89">IF($R272&gt;$F$177,0.0000000005,J272)</f>
        <v>0.0000000005</v>
      </c>
      <c r="T272" s="235">
        <f t="shared" si="89"/>
        <v>0.0000000005</v>
      </c>
      <c r="U272" s="235">
        <f t="shared" si="89"/>
        <v>0.0000000005</v>
      </c>
      <c r="V272" s="235">
        <f t="shared" si="11"/>
        <v>1.223522418</v>
      </c>
    </row>
    <row r="273" ht="12.0" customHeight="1">
      <c r="D273" s="43"/>
      <c r="E273" s="224"/>
      <c r="F273" s="224"/>
      <c r="G273" s="224"/>
      <c r="I273" s="43"/>
      <c r="J273" s="224"/>
      <c r="K273" s="224"/>
      <c r="L273" s="224"/>
    </row>
    <row r="274" ht="12.0" customHeight="1"/>
    <row r="275" ht="12.0" customHeight="1">
      <c r="D275" s="67" t="s">
        <v>390</v>
      </c>
    </row>
    <row r="276" ht="12.0" customHeight="1"/>
    <row r="277" ht="12.0" customHeight="1">
      <c r="D277" s="67" t="s">
        <v>391</v>
      </c>
      <c r="E277" s="115">
        <f>'Device Parameters'!E12</f>
        <v>0.001</v>
      </c>
    </row>
    <row r="278" ht="12.0" customHeight="1">
      <c r="D278" s="67" t="s">
        <v>392</v>
      </c>
      <c r="E278" s="115">
        <f>RsEFF*0.001</f>
        <v>0.005</v>
      </c>
    </row>
    <row r="279" ht="12.0" customHeight="1">
      <c r="D279" s="67" t="s">
        <v>393</v>
      </c>
      <c r="E279" s="115">
        <f>VINMAX</f>
        <v>30</v>
      </c>
    </row>
    <row r="280" ht="12.0" customHeight="1">
      <c r="D280" s="67" t="s">
        <v>394</v>
      </c>
      <c r="E280" s="43"/>
      <c r="F280" s="115">
        <v>0.25</v>
      </c>
    </row>
    <row r="281" ht="12.0" customHeight="1"/>
    <row r="282" ht="12.0" customHeight="1">
      <c r="D282" s="209" t="s">
        <v>395</v>
      </c>
    </row>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D52:G52"/>
    <mergeCell ref="D60:G60"/>
    <mergeCell ref="D74:H74"/>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3" width="9.14"/>
    <col customWidth="1" min="4" max="5" width="15.0"/>
    <col customWidth="1" min="6" max="6" width="15.43"/>
    <col customWidth="1" min="7" max="7" width="14.86"/>
    <col customWidth="1" min="8" max="8" width="10.71"/>
    <col customWidth="1" min="9" max="9" width="12.43"/>
    <col customWidth="1" min="10" max="10" width="14.86"/>
    <col customWidth="1" min="11" max="11" width="12.86"/>
    <col customWidth="1" min="12" max="12" width="14.29"/>
    <col customWidth="1" min="13" max="13" width="20.86"/>
    <col customWidth="1" min="14" max="14" width="12.71"/>
    <col customWidth="1" min="15" max="15" width="10.14"/>
    <col customWidth="1" min="16" max="16" width="18.86"/>
    <col customWidth="1" min="17" max="17" width="10.86"/>
    <col customWidth="1" min="18" max="29" width="9.14"/>
  </cols>
  <sheetData>
    <row r="1" ht="12.0" customHeight="1">
      <c r="A1" s="67"/>
      <c r="B1" s="67" t="s">
        <v>381</v>
      </c>
      <c r="C1" s="67" t="s">
        <v>396</v>
      </c>
      <c r="D1" s="67" t="s">
        <v>397</v>
      </c>
      <c r="E1" s="67"/>
      <c r="F1" s="239" t="s">
        <v>398</v>
      </c>
      <c r="G1" s="239" t="s">
        <v>399</v>
      </c>
      <c r="H1" s="239" t="s">
        <v>400</v>
      </c>
      <c r="I1" s="239" t="s">
        <v>401</v>
      </c>
      <c r="J1" s="239" t="s">
        <v>402</v>
      </c>
      <c r="K1" s="239"/>
      <c r="L1" s="239"/>
      <c r="M1" s="239" t="s">
        <v>403</v>
      </c>
      <c r="N1" s="239"/>
      <c r="O1" s="239" t="s">
        <v>404</v>
      </c>
      <c r="P1" s="67"/>
      <c r="Q1" s="67" t="s">
        <v>405</v>
      </c>
      <c r="R1" s="67" t="s">
        <v>406</v>
      </c>
      <c r="S1" s="67"/>
      <c r="T1" s="67"/>
      <c r="U1" s="67"/>
      <c r="V1" s="67"/>
      <c r="W1" s="67"/>
      <c r="X1" s="67"/>
      <c r="Y1" s="67"/>
      <c r="Z1" s="67"/>
      <c r="AA1" s="67"/>
      <c r="AB1" s="67"/>
      <c r="AC1" s="67"/>
    </row>
    <row r="2" ht="12.0" customHeight="1">
      <c r="A2" s="67"/>
      <c r="B2" s="214">
        <f>'Design Calculator'!F67</f>
        <v>49.6</v>
      </c>
      <c r="C2" s="240">
        <f>'Design Calculator'!F46</f>
        <v>11</v>
      </c>
      <c r="D2" s="67" t="str">
        <f>IF( 'Design Calculator'!F69 = "Constant Current", "CC", "R")</f>
        <v>CC</v>
      </c>
      <c r="E2" s="67"/>
      <c r="F2" s="67" t="str">
        <f>'Design Calculator'!F71</f>
        <v>Yes</v>
      </c>
      <c r="G2" s="67">
        <f>'Design Calculator'!F70</f>
        <v>0</v>
      </c>
      <c r="H2" s="67">
        <f>'Design Calculator'!F68</f>
        <v>0</v>
      </c>
      <c r="I2" s="67">
        <f>RsEFF</f>
        <v>5</v>
      </c>
      <c r="J2" s="67">
        <f>'Device Parameters'!E12</f>
        <v>0.001</v>
      </c>
      <c r="K2" s="67"/>
      <c r="L2" s="67"/>
      <c r="M2" s="214">
        <f>J114*1000</f>
        <v>249.375</v>
      </c>
      <c r="N2" s="67" t="s">
        <v>112</v>
      </c>
      <c r="O2" s="223">
        <f>MIN(L10:L111)</f>
        <v>1</v>
      </c>
      <c r="P2" s="67"/>
      <c r="Q2" s="67">
        <f>'Device Parameters'!E30/'Device Parameters'!D30</f>
        <v>1.375</v>
      </c>
      <c r="R2" s="67">
        <f>'Device Parameters'!C30/'Device Parameters'!D30</f>
        <v>0.625</v>
      </c>
      <c r="S2" s="67"/>
      <c r="T2" s="67"/>
      <c r="U2" s="67"/>
      <c r="V2" s="67"/>
      <c r="W2" s="67"/>
      <c r="X2" s="67"/>
      <c r="Y2" s="67"/>
      <c r="Z2" s="67"/>
      <c r="AA2" s="67"/>
      <c r="AB2" s="67"/>
      <c r="AC2" s="67"/>
    </row>
    <row r="3" ht="12.0" customHeight="1">
      <c r="A3" s="67"/>
      <c r="B3" s="214"/>
      <c r="C3" s="67"/>
      <c r="D3" s="67"/>
      <c r="E3" s="67"/>
      <c r="F3" s="67"/>
      <c r="G3" s="67"/>
      <c r="H3" s="67"/>
      <c r="I3" s="67"/>
      <c r="J3" s="67"/>
      <c r="K3" s="67"/>
      <c r="L3" s="67"/>
      <c r="M3" s="214"/>
      <c r="N3" s="67"/>
      <c r="O3" s="223"/>
      <c r="P3" s="67"/>
      <c r="Q3" s="67"/>
      <c r="R3" s="67"/>
      <c r="S3" s="67"/>
      <c r="T3" s="67"/>
      <c r="U3" s="67"/>
      <c r="V3" s="67"/>
      <c r="W3" s="67"/>
      <c r="X3" s="67"/>
      <c r="Y3" s="67"/>
      <c r="Z3" s="67"/>
      <c r="AA3" s="67"/>
      <c r="AB3" s="67"/>
      <c r="AC3" s="67"/>
    </row>
    <row r="4" ht="12.0" customHeight="1">
      <c r="A4" s="67"/>
      <c r="B4" s="214"/>
      <c r="C4" s="67"/>
      <c r="D4" s="67" t="s">
        <v>407</v>
      </c>
      <c r="E4" s="67"/>
      <c r="F4" s="67"/>
      <c r="G4" s="67"/>
      <c r="H4" s="67"/>
      <c r="I4" s="67"/>
      <c r="J4" s="67"/>
      <c r="K4" s="67"/>
      <c r="L4" s="67"/>
      <c r="M4" s="214" t="s">
        <v>408</v>
      </c>
      <c r="N4" s="67">
        <f>MIN(M10:M114)</f>
        <v>0.5904761905</v>
      </c>
      <c r="O4" s="223" t="s">
        <v>122</v>
      </c>
      <c r="P4" s="67" t="s">
        <v>409</v>
      </c>
      <c r="Q4" s="67">
        <f>MAX(O10:O114)</f>
        <v>5.052631579</v>
      </c>
      <c r="R4" s="67" t="s">
        <v>59</v>
      </c>
      <c r="S4" s="67"/>
      <c r="T4" s="67"/>
      <c r="U4" s="67"/>
      <c r="V4" s="67"/>
      <c r="W4" s="67"/>
      <c r="X4" s="67"/>
      <c r="Y4" s="67"/>
      <c r="Z4" s="67"/>
      <c r="AA4" s="67"/>
      <c r="AB4" s="67"/>
      <c r="AC4" s="67"/>
    </row>
    <row r="5" ht="12.0" customHeight="1">
      <c r="A5" s="67"/>
      <c r="B5" s="214"/>
      <c r="C5" s="67"/>
      <c r="D5" s="67"/>
      <c r="E5" s="67"/>
      <c r="F5" s="67"/>
      <c r="G5" s="67"/>
      <c r="H5" s="67"/>
      <c r="I5" s="67"/>
      <c r="J5" s="67"/>
      <c r="K5" s="67"/>
      <c r="L5" s="67"/>
      <c r="M5" s="67" t="s">
        <v>410</v>
      </c>
      <c r="N5" s="241">
        <f>SUM(N10:N114)</f>
        <v>0.6239423077</v>
      </c>
      <c r="O5" s="223" t="s">
        <v>311</v>
      </c>
      <c r="P5" s="67" t="s">
        <v>411</v>
      </c>
      <c r="Q5" s="67">
        <f>MAX(P10:P114)</f>
        <v>6.947368421</v>
      </c>
      <c r="R5" s="67" t="s">
        <v>59</v>
      </c>
      <c r="S5" s="67"/>
      <c r="T5" s="67"/>
      <c r="U5" s="67"/>
      <c r="V5" s="67"/>
      <c r="W5" s="67"/>
      <c r="X5" s="67"/>
      <c r="Y5" s="67"/>
      <c r="Z5" s="67"/>
      <c r="AA5" s="67"/>
      <c r="AB5" s="67"/>
      <c r="AC5" s="67"/>
    </row>
    <row r="6" ht="12.0" customHeight="1">
      <c r="A6" s="67"/>
      <c r="B6" s="67"/>
      <c r="C6" s="67"/>
      <c r="D6" s="67"/>
      <c r="E6" s="67"/>
      <c r="F6" s="67"/>
      <c r="G6" s="67"/>
      <c r="H6" s="67"/>
      <c r="I6" s="67"/>
      <c r="J6" s="67"/>
      <c r="K6" s="67"/>
      <c r="L6" s="67"/>
      <c r="M6" s="67"/>
      <c r="N6" s="67"/>
      <c r="O6" s="67"/>
      <c r="P6" s="67" t="s">
        <v>412</v>
      </c>
      <c r="Q6" s="67">
        <f>MAX(Q10:Q114)</f>
        <v>3.157894737</v>
      </c>
      <c r="R6" s="67" t="s">
        <v>59</v>
      </c>
      <c r="S6" s="67"/>
      <c r="T6" s="67"/>
      <c r="U6" s="67"/>
      <c r="V6" s="67"/>
      <c r="W6" s="67"/>
      <c r="X6" s="67"/>
      <c r="Y6" s="67"/>
      <c r="Z6" s="67"/>
      <c r="AA6" s="67"/>
      <c r="AB6" s="67"/>
      <c r="AC6" s="67"/>
    </row>
    <row r="7" ht="12.0" customHeight="1">
      <c r="A7" s="242" t="s">
        <v>413</v>
      </c>
      <c r="B7" s="219" t="s">
        <v>414</v>
      </c>
      <c r="C7" s="219" t="s">
        <v>415</v>
      </c>
      <c r="D7" s="219" t="s">
        <v>381</v>
      </c>
      <c r="E7" s="219" t="s">
        <v>416</v>
      </c>
      <c r="F7" s="219" t="s">
        <v>417</v>
      </c>
      <c r="G7" s="219" t="s">
        <v>418</v>
      </c>
      <c r="H7" s="219" t="s">
        <v>419</v>
      </c>
      <c r="I7" s="219" t="s">
        <v>420</v>
      </c>
      <c r="J7" s="219" t="s">
        <v>421</v>
      </c>
      <c r="K7" s="219" t="s">
        <v>422</v>
      </c>
      <c r="L7" s="242" t="s">
        <v>423</v>
      </c>
      <c r="M7" s="242" t="s">
        <v>424</v>
      </c>
      <c r="N7" s="242" t="s">
        <v>425</v>
      </c>
      <c r="O7" s="242" t="s">
        <v>426</v>
      </c>
      <c r="P7" s="67" t="s">
        <v>427</v>
      </c>
      <c r="Q7" s="67" t="s">
        <v>428</v>
      </c>
      <c r="R7" s="67"/>
      <c r="S7" s="67"/>
      <c r="T7" s="67"/>
      <c r="U7" s="67"/>
      <c r="V7" s="67"/>
      <c r="W7" s="67"/>
      <c r="X7" s="67"/>
      <c r="Y7" s="67"/>
      <c r="Z7" s="67"/>
      <c r="AA7" s="67"/>
      <c r="AB7" s="67"/>
      <c r="AC7" s="67"/>
    </row>
    <row r="8" ht="12.0" customHeight="1">
      <c r="A8" s="242"/>
      <c r="B8" s="219"/>
      <c r="C8" s="219"/>
      <c r="D8" s="219"/>
      <c r="E8" s="219"/>
      <c r="F8" s="219"/>
      <c r="G8" s="219"/>
      <c r="H8" s="219"/>
      <c r="I8" s="219"/>
      <c r="J8" s="219"/>
      <c r="K8" s="243">
        <v>-1.0</v>
      </c>
      <c r="L8" s="242"/>
      <c r="M8" s="242"/>
      <c r="N8" s="242"/>
      <c r="O8" s="67">
        <v>0.0</v>
      </c>
      <c r="P8" s="67"/>
      <c r="Q8" s="67"/>
      <c r="R8" s="67"/>
      <c r="S8" s="67"/>
      <c r="T8" s="67"/>
      <c r="U8" s="67"/>
      <c r="V8" s="67"/>
      <c r="W8" s="67"/>
      <c r="X8" s="67"/>
      <c r="Y8" s="67"/>
      <c r="Z8" s="67"/>
      <c r="AA8" s="67"/>
      <c r="AB8" s="67"/>
      <c r="AC8" s="67"/>
    </row>
    <row r="9" ht="12.0" customHeight="1">
      <c r="A9" s="242"/>
      <c r="B9" s="219"/>
      <c r="C9" s="219"/>
      <c r="D9" s="219"/>
      <c r="E9" s="219"/>
      <c r="F9" s="219"/>
      <c r="G9" s="219"/>
      <c r="H9" s="219"/>
      <c r="I9" s="219"/>
      <c r="J9" s="219"/>
      <c r="K9" s="224">
        <v>-0.01</v>
      </c>
      <c r="L9" s="242"/>
      <c r="M9" s="242"/>
      <c r="N9" s="242"/>
      <c r="O9" s="67">
        <v>0.0</v>
      </c>
      <c r="P9" s="67"/>
      <c r="Q9" s="67"/>
      <c r="R9" s="67"/>
      <c r="S9" s="67"/>
      <c r="T9" s="67"/>
      <c r="U9" s="67"/>
      <c r="V9" s="67"/>
      <c r="W9" s="67"/>
      <c r="X9" s="67"/>
      <c r="Y9" s="67"/>
      <c r="Z9" s="67"/>
      <c r="AA9" s="67"/>
      <c r="AB9" s="67"/>
      <c r="AC9" s="67"/>
    </row>
    <row r="10" ht="12.0" customHeight="1">
      <c r="A10" s="67">
        <f>VINMAX</f>
        <v>30</v>
      </c>
      <c r="B10" s="244">
        <f>VINMAX*((ROW()-10)/104)</f>
        <v>0</v>
      </c>
      <c r="C10" s="222">
        <f t="shared" ref="C10:C114" si="1">IF(B10&gt;=$H$2,IF($D$2="CC", $G$2, B10/$G$2), 0)</f>
        <v>0</v>
      </c>
      <c r="D10" s="224">
        <f>B2</f>
        <v>49.6</v>
      </c>
      <c r="E10" s="43">
        <f t="shared" ref="E10:E110" si="2">MIN(D10/(A10-B10),$C$2)</f>
        <v>1.653333333</v>
      </c>
      <c r="F10" s="222">
        <f>I_Cout_ss+C10</f>
        <v>0.1684210526</v>
      </c>
      <c r="G10" s="222">
        <f t="shared" ref="G10:G114" si="3">IF($F$2="YES", F10, E10)</f>
        <v>0.1684210526</v>
      </c>
      <c r="H10" s="222">
        <f t="shared" ref="H10:H114" si="4">G10-C10</f>
        <v>0.1684210526</v>
      </c>
      <c r="I10" s="221">
        <f>(COUTMAX/1000000)*(B10)/H10</f>
        <v>0</v>
      </c>
      <c r="J10" s="221">
        <f>I10</f>
        <v>0</v>
      </c>
      <c r="K10" s="243">
        <f t="shared" ref="K10:K114" si="5">J10*1000</f>
        <v>0</v>
      </c>
      <c r="L10" s="223">
        <f t="shared" ref="L10:L114" si="6">H10/G10</f>
        <v>1</v>
      </c>
      <c r="M10" s="67">
        <f>1/COUTMAX*(E10/2-C10)*1000</f>
        <v>0.5904761905</v>
      </c>
      <c r="N10" s="241">
        <f t="shared" ref="N10:N114" si="7">I10*G10*(A10-B10)</f>
        <v>0</v>
      </c>
      <c r="O10" s="67">
        <f t="shared" ref="O10:O114" si="8">G10*(A10-B10)</f>
        <v>5.052631579</v>
      </c>
      <c r="P10" s="67">
        <f>(A10-B10)*(I_Cout_ss*$Q$2+C10)</f>
        <v>6.947368421</v>
      </c>
      <c r="Q10" s="67">
        <f>(A10-B10)*(I_Cout_ss*$R$2+C10)</f>
        <v>3.157894737</v>
      </c>
      <c r="R10" s="67"/>
      <c r="S10" s="67"/>
      <c r="T10" s="67"/>
      <c r="U10" s="67"/>
      <c r="V10" s="67"/>
      <c r="W10" s="67"/>
      <c r="X10" s="67"/>
      <c r="Y10" s="67"/>
      <c r="Z10" s="67"/>
      <c r="AA10" s="67"/>
      <c r="AB10" s="67"/>
      <c r="AC10" s="67"/>
    </row>
    <row r="11" ht="12.0" customHeight="1">
      <c r="A11" s="67">
        <f>VINMAX</f>
        <v>30</v>
      </c>
      <c r="B11" s="244">
        <f>VINMAX*((ROW()-10)/104)</f>
        <v>0.2884615385</v>
      </c>
      <c r="C11" s="222">
        <f t="shared" si="1"/>
        <v>0</v>
      </c>
      <c r="D11" s="224">
        <f>B2</f>
        <v>49.6</v>
      </c>
      <c r="E11" s="43">
        <f t="shared" si="2"/>
        <v>1.669385113</v>
      </c>
      <c r="F11" s="222">
        <f>I_Cout_ss+C11</f>
        <v>0.1684210526</v>
      </c>
      <c r="G11" s="222">
        <f t="shared" si="3"/>
        <v>0.1684210526</v>
      </c>
      <c r="H11" s="222">
        <f t="shared" si="4"/>
        <v>0.1684210526</v>
      </c>
      <c r="I11" s="221">
        <f>(COUTMAX/1000000)*(B11-B10)/H11</f>
        <v>0.002397836538</v>
      </c>
      <c r="J11" s="221">
        <f t="shared" ref="J11:J114" si="9">J10+I11</f>
        <v>0.002397836538</v>
      </c>
      <c r="K11" s="243">
        <f t="shared" si="5"/>
        <v>2.397836538</v>
      </c>
      <c r="L11" s="223">
        <f t="shared" si="6"/>
        <v>1</v>
      </c>
      <c r="M11" s="67">
        <f>1/COUTMAX*(E11/2-C11)*1000</f>
        <v>0.596208969</v>
      </c>
      <c r="N11" s="241">
        <f t="shared" si="7"/>
        <v>0.01199889053</v>
      </c>
      <c r="O11" s="67">
        <f t="shared" si="8"/>
        <v>5.004048583</v>
      </c>
      <c r="P11" s="67">
        <f>(A11-B11)*(I_Cout_ss*$Q$2+C11)</f>
        <v>6.880566802</v>
      </c>
      <c r="Q11" s="67">
        <f>(A11-B11)*(I_Cout_ss*$R$2+C11)</f>
        <v>3.127530364</v>
      </c>
      <c r="R11" s="67"/>
      <c r="S11" s="67"/>
      <c r="T11" s="67"/>
      <c r="U11" s="67"/>
      <c r="V11" s="67"/>
      <c r="W11" s="67"/>
      <c r="X11" s="67"/>
      <c r="Y11" s="67"/>
      <c r="Z11" s="67"/>
      <c r="AA11" s="67"/>
      <c r="AB11" s="67"/>
      <c r="AC11" s="67"/>
    </row>
    <row r="12" ht="12.0" customHeight="1">
      <c r="A12" s="67">
        <f>VINMAX</f>
        <v>30</v>
      </c>
      <c r="B12" s="244">
        <f>VINMAX*((ROW()-10)/104)</f>
        <v>0.5769230769</v>
      </c>
      <c r="C12" s="222">
        <f t="shared" si="1"/>
        <v>0</v>
      </c>
      <c r="D12" s="224">
        <f>B2</f>
        <v>49.6</v>
      </c>
      <c r="E12" s="43">
        <f t="shared" si="2"/>
        <v>1.685751634</v>
      </c>
      <c r="F12" s="222">
        <f>I_Cout_ss+C12</f>
        <v>0.1684210526</v>
      </c>
      <c r="G12" s="222">
        <f t="shared" si="3"/>
        <v>0.1684210526</v>
      </c>
      <c r="H12" s="222">
        <f t="shared" si="4"/>
        <v>0.1684210526</v>
      </c>
      <c r="I12" s="221">
        <f>(COUTMAX/1000000)*(B12-B11)/H12</f>
        <v>0.002397836538</v>
      </c>
      <c r="J12" s="221">
        <f t="shared" si="9"/>
        <v>0.004795673077</v>
      </c>
      <c r="K12" s="243">
        <f t="shared" si="5"/>
        <v>4.795673077</v>
      </c>
      <c r="L12" s="223">
        <f t="shared" si="6"/>
        <v>1</v>
      </c>
      <c r="M12" s="67">
        <f>1/COUTMAX*(E12/2-C12)*1000</f>
        <v>0.602054155</v>
      </c>
      <c r="N12" s="241">
        <f t="shared" si="7"/>
        <v>0.01188239645</v>
      </c>
      <c r="O12" s="67">
        <f t="shared" si="8"/>
        <v>4.955465587</v>
      </c>
      <c r="P12" s="67">
        <f>(A12-B12)*(I_Cout_ss*$Q$2+C12)</f>
        <v>6.813765182</v>
      </c>
      <c r="Q12" s="67">
        <f>(A12-B12)*(I_Cout_ss*$R$2+C12)</f>
        <v>3.097165992</v>
      </c>
      <c r="R12" s="67"/>
      <c r="S12" s="67"/>
      <c r="T12" s="67"/>
      <c r="U12" s="67"/>
      <c r="V12" s="67"/>
      <c r="W12" s="67"/>
      <c r="X12" s="245" t="s">
        <v>429</v>
      </c>
      <c r="Y12" s="246"/>
      <c r="Z12" s="67"/>
      <c r="AA12" s="67"/>
      <c r="AB12" s="67"/>
      <c r="AC12" s="67"/>
    </row>
    <row r="13" ht="12.0" customHeight="1">
      <c r="A13" s="67">
        <f>VINMAX</f>
        <v>30</v>
      </c>
      <c r="B13" s="244">
        <f>VINMAX*((ROW()-10)/104)</f>
        <v>0.8653846154</v>
      </c>
      <c r="C13" s="222">
        <f t="shared" si="1"/>
        <v>0</v>
      </c>
      <c r="D13" s="224">
        <f>B2</f>
        <v>49.6</v>
      </c>
      <c r="E13" s="43">
        <f t="shared" si="2"/>
        <v>1.702442244</v>
      </c>
      <c r="F13" s="222">
        <f>I_Cout_ss+C13</f>
        <v>0.1684210526</v>
      </c>
      <c r="G13" s="222">
        <f t="shared" si="3"/>
        <v>0.1684210526</v>
      </c>
      <c r="H13" s="222">
        <f t="shared" si="4"/>
        <v>0.1684210526</v>
      </c>
      <c r="I13" s="221">
        <f>(COUTMAX/1000000)*(B13-B12)/H13</f>
        <v>0.002397836538</v>
      </c>
      <c r="J13" s="221">
        <f t="shared" si="9"/>
        <v>0.007193509615</v>
      </c>
      <c r="K13" s="243">
        <f t="shared" si="5"/>
        <v>7.193509615</v>
      </c>
      <c r="L13" s="223">
        <f t="shared" si="6"/>
        <v>1</v>
      </c>
      <c r="M13" s="67">
        <f>1/COUTMAX*(E13/2-C13)*1000</f>
        <v>0.6080150872</v>
      </c>
      <c r="N13" s="241">
        <f t="shared" si="7"/>
        <v>0.01176590237</v>
      </c>
      <c r="O13" s="67">
        <f t="shared" si="8"/>
        <v>4.906882591</v>
      </c>
      <c r="P13" s="67">
        <f>(A13-B13)*(I_Cout_ss*$Q$2+C13)</f>
        <v>6.746963563</v>
      </c>
      <c r="Q13" s="67">
        <f>(A13-B13)*(I_Cout_ss*$R$2+C13)</f>
        <v>3.066801619</v>
      </c>
      <c r="R13" s="67"/>
      <c r="S13" s="67"/>
      <c r="T13" s="67"/>
      <c r="U13" s="67"/>
      <c r="V13" s="67"/>
      <c r="W13" s="67"/>
      <c r="X13" s="247" t="s">
        <v>430</v>
      </c>
      <c r="Y13" s="247">
        <v>0.3</v>
      </c>
      <c r="Z13" s="67"/>
      <c r="AA13" s="67"/>
      <c r="AB13" s="67"/>
      <c r="AC13" s="67"/>
    </row>
    <row r="14" ht="12.0" customHeight="1">
      <c r="A14" s="67">
        <f>VINMAX</f>
        <v>30</v>
      </c>
      <c r="B14" s="244">
        <f>VINMAX*((ROW()-10)/104)</f>
        <v>1.153846154</v>
      </c>
      <c r="C14" s="222">
        <f t="shared" si="1"/>
        <v>0</v>
      </c>
      <c r="D14" s="224">
        <f>B2</f>
        <v>49.6</v>
      </c>
      <c r="E14" s="43">
        <f t="shared" si="2"/>
        <v>1.719466667</v>
      </c>
      <c r="F14" s="222">
        <f>I_Cout_ss+C14</f>
        <v>0.1684210526</v>
      </c>
      <c r="G14" s="222">
        <f t="shared" si="3"/>
        <v>0.1684210526</v>
      </c>
      <c r="H14" s="222">
        <f t="shared" si="4"/>
        <v>0.1684210526</v>
      </c>
      <c r="I14" s="221">
        <f>(COUTMAX/1000000)*(B14-B13)/H14</f>
        <v>0.002397836538</v>
      </c>
      <c r="J14" s="221">
        <f t="shared" si="9"/>
        <v>0.009591346154</v>
      </c>
      <c r="K14" s="243">
        <f t="shared" si="5"/>
        <v>9.591346154</v>
      </c>
      <c r="L14" s="223">
        <f t="shared" si="6"/>
        <v>1</v>
      </c>
      <c r="M14" s="67">
        <f>1/COUTMAX*(E14/2-C14)*1000</f>
        <v>0.6140952381</v>
      </c>
      <c r="N14" s="241">
        <f t="shared" si="7"/>
        <v>0.01164940828</v>
      </c>
      <c r="O14" s="67">
        <f t="shared" si="8"/>
        <v>4.858299595</v>
      </c>
      <c r="P14" s="67">
        <f>(A14-B14)*(I_Cout_ss*$Q$2+C14)</f>
        <v>6.680161943</v>
      </c>
      <c r="Q14" s="67">
        <f>(A14-B14)*(I_Cout_ss*$R$2+C14)</f>
        <v>3.036437247</v>
      </c>
      <c r="R14" s="67"/>
      <c r="S14" s="67"/>
      <c r="T14" s="67"/>
      <c r="U14" s="67"/>
      <c r="V14" s="67"/>
      <c r="W14" s="67"/>
      <c r="X14" s="247" t="s">
        <v>431</v>
      </c>
      <c r="Y14" s="247">
        <v>0.3</v>
      </c>
      <c r="Z14" s="67"/>
      <c r="AA14" s="67"/>
      <c r="AB14" s="67"/>
      <c r="AC14" s="67"/>
    </row>
    <row r="15" ht="12.0" customHeight="1">
      <c r="A15" s="67">
        <f>VINMAX</f>
        <v>30</v>
      </c>
      <c r="B15" s="244">
        <f>VINMAX*((ROW()-10)/104)</f>
        <v>1.442307692</v>
      </c>
      <c r="C15" s="222">
        <f t="shared" si="1"/>
        <v>0</v>
      </c>
      <c r="D15" s="224">
        <f>B2</f>
        <v>49.6</v>
      </c>
      <c r="E15" s="43">
        <f t="shared" si="2"/>
        <v>1.736835017</v>
      </c>
      <c r="F15" s="222">
        <f>I_Cout_ss+C15</f>
        <v>0.1684210526</v>
      </c>
      <c r="G15" s="222">
        <f t="shared" si="3"/>
        <v>0.1684210526</v>
      </c>
      <c r="H15" s="222">
        <f t="shared" si="4"/>
        <v>0.1684210526</v>
      </c>
      <c r="I15" s="221">
        <f>(COUTMAX/1000000)*(B15-B14)/H15</f>
        <v>0.002397836538</v>
      </c>
      <c r="J15" s="221">
        <f t="shared" si="9"/>
        <v>0.01198918269</v>
      </c>
      <c r="K15" s="243">
        <f t="shared" si="5"/>
        <v>11.98918269</v>
      </c>
      <c r="L15" s="223">
        <f t="shared" si="6"/>
        <v>1</v>
      </c>
      <c r="M15" s="67">
        <f>1/COUTMAX*(E15/2-C15)*1000</f>
        <v>0.6202982203</v>
      </c>
      <c r="N15" s="241">
        <f t="shared" si="7"/>
        <v>0.0115329142</v>
      </c>
      <c r="O15" s="67">
        <f t="shared" si="8"/>
        <v>4.809716599</v>
      </c>
      <c r="P15" s="67">
        <f>(A15-B15)*(I_Cout_ss*$Q$2+C15)</f>
        <v>6.613360324</v>
      </c>
      <c r="Q15" s="67">
        <f>(A15-B15)*(I_Cout_ss*$R$2+C15)</f>
        <v>3.006072874</v>
      </c>
      <c r="R15" s="67"/>
      <c r="S15" s="67"/>
      <c r="T15" s="67"/>
      <c r="U15" s="67"/>
      <c r="V15" s="67"/>
      <c r="W15" s="67"/>
      <c r="X15" s="247" t="s">
        <v>432</v>
      </c>
      <c r="Y15" s="247">
        <f>SQRT(Y14^2+Y13^2)</f>
        <v>0.4242640687</v>
      </c>
      <c r="Z15" s="67"/>
      <c r="AA15" s="67"/>
      <c r="AB15" s="67"/>
      <c r="AC15" s="67"/>
    </row>
    <row r="16" ht="12.0" customHeight="1">
      <c r="A16" s="67">
        <f>VINMAX</f>
        <v>30</v>
      </c>
      <c r="B16" s="244">
        <f>VINMAX*((ROW()-10)/104)</f>
        <v>1.730769231</v>
      </c>
      <c r="C16" s="222">
        <f t="shared" si="1"/>
        <v>0</v>
      </c>
      <c r="D16" s="224">
        <f>B2</f>
        <v>49.6</v>
      </c>
      <c r="E16" s="43">
        <f t="shared" si="2"/>
        <v>1.754557823</v>
      </c>
      <c r="F16" s="222">
        <f>I_Cout_ss+C16</f>
        <v>0.1684210526</v>
      </c>
      <c r="G16" s="222">
        <f t="shared" si="3"/>
        <v>0.1684210526</v>
      </c>
      <c r="H16" s="222">
        <f t="shared" si="4"/>
        <v>0.1684210526</v>
      </c>
      <c r="I16" s="221">
        <f>(COUTMAX/1000000)*(B16-B15)/H16</f>
        <v>0.002397836538</v>
      </c>
      <c r="J16" s="221">
        <f t="shared" si="9"/>
        <v>0.01438701923</v>
      </c>
      <c r="K16" s="243">
        <f t="shared" si="5"/>
        <v>14.38701923</v>
      </c>
      <c r="L16" s="223">
        <f t="shared" si="6"/>
        <v>1</v>
      </c>
      <c r="M16" s="67">
        <f>1/COUTMAX*(E16/2-C16)*1000</f>
        <v>0.626627794</v>
      </c>
      <c r="N16" s="241">
        <f t="shared" si="7"/>
        <v>0.01141642012</v>
      </c>
      <c r="O16" s="67">
        <f t="shared" si="8"/>
        <v>4.761133603</v>
      </c>
      <c r="P16" s="67">
        <f>(A16-B16)*(I_Cout_ss*$Q$2+C16)</f>
        <v>6.546558704</v>
      </c>
      <c r="Q16" s="67">
        <f>(A16-B16)*(I_Cout_ss*$R$2+C16)</f>
        <v>2.975708502</v>
      </c>
      <c r="R16" s="67"/>
      <c r="S16" s="67"/>
      <c r="T16" s="67"/>
      <c r="U16" s="67"/>
      <c r="V16" s="67"/>
      <c r="W16" s="67"/>
      <c r="X16" s="247"/>
      <c r="Y16" s="247"/>
      <c r="Z16" s="67"/>
      <c r="AA16" s="67"/>
      <c r="AB16" s="67"/>
      <c r="AC16" s="67"/>
    </row>
    <row r="17" ht="12.0" customHeight="1">
      <c r="A17" s="67">
        <f>VINMAX</f>
        <v>30</v>
      </c>
      <c r="B17" s="244">
        <f>VINMAX*((ROW()-10)/104)</f>
        <v>2.019230769</v>
      </c>
      <c r="C17" s="222">
        <f t="shared" si="1"/>
        <v>0</v>
      </c>
      <c r="D17" s="224">
        <f>B2</f>
        <v>49.6</v>
      </c>
      <c r="E17" s="43">
        <f t="shared" si="2"/>
        <v>1.772646048</v>
      </c>
      <c r="F17" s="222">
        <f>I_Cout_ss+C17</f>
        <v>0.1684210526</v>
      </c>
      <c r="G17" s="222">
        <f t="shared" si="3"/>
        <v>0.1684210526</v>
      </c>
      <c r="H17" s="222">
        <f t="shared" si="4"/>
        <v>0.1684210526</v>
      </c>
      <c r="I17" s="221">
        <f>(COUTMAX/1000000)*(B17-B16)/H17</f>
        <v>0.002397836538</v>
      </c>
      <c r="J17" s="221">
        <f t="shared" si="9"/>
        <v>0.01678485577</v>
      </c>
      <c r="K17" s="243">
        <f t="shared" si="5"/>
        <v>16.78485577</v>
      </c>
      <c r="L17" s="223">
        <f t="shared" si="6"/>
        <v>1</v>
      </c>
      <c r="M17" s="67">
        <f>1/COUTMAX*(E17/2-C17)*1000</f>
        <v>0.6330878743</v>
      </c>
      <c r="N17" s="241">
        <f t="shared" si="7"/>
        <v>0.01129992604</v>
      </c>
      <c r="O17" s="67">
        <f t="shared" si="8"/>
        <v>4.712550607</v>
      </c>
      <c r="P17" s="67">
        <f>(A17-B17)*(I_Cout_ss*$Q$2+C17)</f>
        <v>6.479757085</v>
      </c>
      <c r="Q17" s="67">
        <f>(A17-B17)*(I_Cout_ss*$R$2+C17)</f>
        <v>2.94534413</v>
      </c>
      <c r="R17" s="67"/>
      <c r="S17" s="67"/>
      <c r="T17" s="67"/>
      <c r="U17" s="67"/>
      <c r="V17" s="67"/>
      <c r="W17" s="67"/>
      <c r="X17" s="247" t="s">
        <v>381</v>
      </c>
      <c r="Y17" s="247">
        <v>0.3</v>
      </c>
      <c r="Z17" s="67"/>
      <c r="AA17" s="67"/>
      <c r="AB17" s="67"/>
      <c r="AC17" s="67"/>
    </row>
    <row r="18" ht="12.0" customHeight="1">
      <c r="A18" s="67">
        <f>VINMAX</f>
        <v>30</v>
      </c>
      <c r="B18" s="244">
        <f>VINMAX*((ROW()-10)/104)</f>
        <v>2.307692308</v>
      </c>
      <c r="C18" s="222">
        <f t="shared" si="1"/>
        <v>0</v>
      </c>
      <c r="D18" s="224">
        <f>B2</f>
        <v>49.6</v>
      </c>
      <c r="E18" s="43">
        <f t="shared" si="2"/>
        <v>1.791111111</v>
      </c>
      <c r="F18" s="222">
        <f>I_Cout_ss+C18</f>
        <v>0.1684210526</v>
      </c>
      <c r="G18" s="222">
        <f t="shared" si="3"/>
        <v>0.1684210526</v>
      </c>
      <c r="H18" s="222">
        <f t="shared" si="4"/>
        <v>0.1684210526</v>
      </c>
      <c r="I18" s="221">
        <f>(COUTMAX/1000000)*(B18-B17)/H18</f>
        <v>0.002397836538</v>
      </c>
      <c r="J18" s="221">
        <f t="shared" si="9"/>
        <v>0.01918269231</v>
      </c>
      <c r="K18" s="243">
        <f t="shared" si="5"/>
        <v>19.18269231</v>
      </c>
      <c r="L18" s="223">
        <f t="shared" si="6"/>
        <v>1</v>
      </c>
      <c r="M18" s="67">
        <f>1/COUTMAX*(E18/2-C18)*1000</f>
        <v>0.6396825397</v>
      </c>
      <c r="N18" s="241">
        <f t="shared" si="7"/>
        <v>0.01118343195</v>
      </c>
      <c r="O18" s="67">
        <f t="shared" si="8"/>
        <v>4.663967611</v>
      </c>
      <c r="P18" s="67">
        <f>(A18-B18)*(I_Cout_ss*$Q$2+C18)</f>
        <v>6.412955466</v>
      </c>
      <c r="Q18" s="67">
        <f>(A18-B18)*(I_Cout_ss*$R$2+C18)</f>
        <v>2.914979757</v>
      </c>
      <c r="R18" s="67"/>
      <c r="S18" s="67"/>
      <c r="T18" s="67"/>
      <c r="U18" s="67"/>
      <c r="V18" s="67"/>
      <c r="W18" s="67"/>
      <c r="X18" s="247" t="s">
        <v>433</v>
      </c>
      <c r="Y18" s="247">
        <f>MAX(Y15:Y17)</f>
        <v>0.4242640687</v>
      </c>
      <c r="Z18" s="67"/>
      <c r="AA18" s="67"/>
      <c r="AB18" s="67"/>
      <c r="AC18" s="67"/>
    </row>
    <row r="19" ht="12.0" customHeight="1">
      <c r="A19" s="67">
        <f>VINMAX</f>
        <v>30</v>
      </c>
      <c r="B19" s="244">
        <f>VINMAX*((ROW()-10)/104)</f>
        <v>2.596153846</v>
      </c>
      <c r="C19" s="222">
        <f t="shared" si="1"/>
        <v>0</v>
      </c>
      <c r="D19" s="224">
        <f>B2</f>
        <v>49.6</v>
      </c>
      <c r="E19" s="43">
        <f t="shared" si="2"/>
        <v>1.809964912</v>
      </c>
      <c r="F19" s="222">
        <f>I_Cout_ss+C19</f>
        <v>0.1684210526</v>
      </c>
      <c r="G19" s="222">
        <f t="shared" si="3"/>
        <v>0.1684210526</v>
      </c>
      <c r="H19" s="222">
        <f t="shared" si="4"/>
        <v>0.1684210526</v>
      </c>
      <c r="I19" s="221">
        <f>(COUTMAX/1000000)*(B19-B18)/H19</f>
        <v>0.002397836538</v>
      </c>
      <c r="J19" s="221">
        <f t="shared" si="9"/>
        <v>0.02158052885</v>
      </c>
      <c r="K19" s="243">
        <f t="shared" si="5"/>
        <v>21.58052885</v>
      </c>
      <c r="L19" s="223">
        <f t="shared" si="6"/>
        <v>1</v>
      </c>
      <c r="M19" s="67">
        <f>1/COUTMAX*(E19/2-C19)*1000</f>
        <v>0.6464160401</v>
      </c>
      <c r="N19" s="241">
        <f t="shared" si="7"/>
        <v>0.01106693787</v>
      </c>
      <c r="O19" s="67">
        <f t="shared" si="8"/>
        <v>4.615384615</v>
      </c>
      <c r="P19" s="67">
        <f>(A19-B19)*(I_Cout_ss*$Q$2+C19)</f>
        <v>6.346153846</v>
      </c>
      <c r="Q19" s="67">
        <f>(A19-B19)*(I_Cout_ss*$R$2+C19)</f>
        <v>2.884615385</v>
      </c>
      <c r="R19" s="67"/>
      <c r="S19" s="67"/>
      <c r="T19" s="67"/>
      <c r="U19" s="67"/>
      <c r="V19" s="67"/>
      <c r="W19" s="67"/>
      <c r="X19" s="247"/>
      <c r="Y19" s="247"/>
      <c r="Z19" s="67"/>
      <c r="AA19" s="67"/>
      <c r="AB19" s="67"/>
      <c r="AC19" s="67"/>
    </row>
    <row r="20" ht="12.0" customHeight="1">
      <c r="A20" s="67">
        <f>VINMAX</f>
        <v>30</v>
      </c>
      <c r="B20" s="244">
        <f>VINMAX*((ROW()-10)/104)</f>
        <v>2.884615385</v>
      </c>
      <c r="C20" s="222">
        <f t="shared" si="1"/>
        <v>0</v>
      </c>
      <c r="D20" s="224">
        <f>B2</f>
        <v>49.6</v>
      </c>
      <c r="E20" s="43">
        <f t="shared" si="2"/>
        <v>1.829219858</v>
      </c>
      <c r="F20" s="222">
        <f>I_Cout_ss+C20</f>
        <v>0.1684210526</v>
      </c>
      <c r="G20" s="222">
        <f t="shared" si="3"/>
        <v>0.1684210526</v>
      </c>
      <c r="H20" s="222">
        <f t="shared" si="4"/>
        <v>0.1684210526</v>
      </c>
      <c r="I20" s="221">
        <f>(COUTMAX/1000000)*(B20-B19)/H20</f>
        <v>0.002397836538</v>
      </c>
      <c r="J20" s="221">
        <f t="shared" si="9"/>
        <v>0.02397836538</v>
      </c>
      <c r="K20" s="243">
        <f t="shared" si="5"/>
        <v>23.97836538</v>
      </c>
      <c r="L20" s="223">
        <f t="shared" si="6"/>
        <v>1</v>
      </c>
      <c r="M20" s="67">
        <f>1/COUTMAX*(E20/2-C20)*1000</f>
        <v>0.6532928065</v>
      </c>
      <c r="N20" s="241">
        <f t="shared" si="7"/>
        <v>0.01095044379</v>
      </c>
      <c r="O20" s="67">
        <f t="shared" si="8"/>
        <v>4.566801619</v>
      </c>
      <c r="P20" s="67">
        <f>(A20-B20)*(I_Cout_ss*$Q$2+C20)</f>
        <v>6.279352227</v>
      </c>
      <c r="Q20" s="67">
        <f>(A20-B20)*(I_Cout_ss*$R$2+C20)</f>
        <v>2.854251012</v>
      </c>
      <c r="R20" s="67"/>
      <c r="S20" s="67"/>
      <c r="T20" s="67"/>
      <c r="U20" s="67"/>
      <c r="V20" s="67"/>
      <c r="W20" s="67"/>
      <c r="X20" s="247" t="s">
        <v>434</v>
      </c>
      <c r="Y20" s="247">
        <v>0.2</v>
      </c>
      <c r="Z20" s="67"/>
      <c r="AA20" s="67"/>
      <c r="AB20" s="67"/>
      <c r="AC20" s="67"/>
    </row>
    <row r="21" ht="12.0" customHeight="1">
      <c r="A21" s="67">
        <f>VINMAX</f>
        <v>30</v>
      </c>
      <c r="B21" s="244">
        <f>VINMAX*((ROW()-10)/104)</f>
        <v>3.173076923</v>
      </c>
      <c r="C21" s="222">
        <f t="shared" si="1"/>
        <v>0</v>
      </c>
      <c r="D21" s="224">
        <f>B2</f>
        <v>49.6</v>
      </c>
      <c r="E21" s="43">
        <f t="shared" si="2"/>
        <v>1.848888889</v>
      </c>
      <c r="F21" s="222">
        <f>I_Cout_ss+C21</f>
        <v>0.1684210526</v>
      </c>
      <c r="G21" s="222">
        <f t="shared" si="3"/>
        <v>0.1684210526</v>
      </c>
      <c r="H21" s="222">
        <f t="shared" si="4"/>
        <v>0.1684210526</v>
      </c>
      <c r="I21" s="221">
        <f>(COUTMAX/1000000)*(B21-B20)/H21</f>
        <v>0.002397836538</v>
      </c>
      <c r="J21" s="221">
        <f t="shared" si="9"/>
        <v>0.02637620192</v>
      </c>
      <c r="K21" s="243">
        <f t="shared" si="5"/>
        <v>26.37620192</v>
      </c>
      <c r="L21" s="223">
        <f t="shared" si="6"/>
        <v>1</v>
      </c>
      <c r="M21" s="67">
        <f>1/COUTMAX*(E21/2-C21)*1000</f>
        <v>0.6603174603</v>
      </c>
      <c r="N21" s="241">
        <f t="shared" si="7"/>
        <v>0.0108339497</v>
      </c>
      <c r="O21" s="67">
        <f t="shared" si="8"/>
        <v>4.518218623</v>
      </c>
      <c r="P21" s="67">
        <f>(A21-B21)*(I_Cout_ss*$Q$2+C21)</f>
        <v>6.212550607</v>
      </c>
      <c r="Q21" s="67">
        <f>(A21-B21)*(I_Cout_ss*$R$2+C21)</f>
        <v>2.82388664</v>
      </c>
      <c r="R21" s="67"/>
      <c r="S21" s="67"/>
      <c r="T21" s="67"/>
      <c r="U21" s="67"/>
      <c r="V21" s="67"/>
      <c r="W21" s="67"/>
      <c r="X21" s="247" t="s">
        <v>435</v>
      </c>
      <c r="Y21" s="247">
        <v>0.2</v>
      </c>
      <c r="Z21" s="67"/>
      <c r="AA21" s="67"/>
      <c r="AB21" s="67"/>
      <c r="AC21" s="67"/>
    </row>
    <row r="22" ht="12.0" customHeight="1">
      <c r="A22" s="67">
        <f>VINMAX</f>
        <v>30</v>
      </c>
      <c r="B22" s="244">
        <f>VINMAX*((ROW()-10)/104)</f>
        <v>3.461538462</v>
      </c>
      <c r="C22" s="222">
        <f t="shared" si="1"/>
        <v>0</v>
      </c>
      <c r="D22" s="224">
        <f>B2</f>
        <v>49.6</v>
      </c>
      <c r="E22" s="43">
        <f t="shared" si="2"/>
        <v>1.868985507</v>
      </c>
      <c r="F22" s="222">
        <f>I_Cout_ss+C22</f>
        <v>0.1684210526</v>
      </c>
      <c r="G22" s="222">
        <f t="shared" si="3"/>
        <v>0.1684210526</v>
      </c>
      <c r="H22" s="222">
        <f t="shared" si="4"/>
        <v>0.1684210526</v>
      </c>
      <c r="I22" s="221">
        <f>(COUTMAX/1000000)*(B22-B21)/H22</f>
        <v>0.002397836538</v>
      </c>
      <c r="J22" s="221">
        <f t="shared" si="9"/>
        <v>0.02877403846</v>
      </c>
      <c r="K22" s="243">
        <f t="shared" si="5"/>
        <v>28.77403846</v>
      </c>
      <c r="L22" s="223">
        <f t="shared" si="6"/>
        <v>1</v>
      </c>
      <c r="M22" s="67">
        <f>1/COUTMAX*(E22/2-C22)*1000</f>
        <v>0.667494824</v>
      </c>
      <c r="N22" s="241">
        <f t="shared" si="7"/>
        <v>0.01071745562</v>
      </c>
      <c r="O22" s="67">
        <f t="shared" si="8"/>
        <v>4.469635628</v>
      </c>
      <c r="P22" s="67">
        <f>(A22-B22)*(I_Cout_ss*$Q$2+C22)</f>
        <v>6.145748988</v>
      </c>
      <c r="Q22" s="67">
        <f>(A22-B22)*(I_Cout_ss*$R$2+C22)</f>
        <v>2.793522267</v>
      </c>
      <c r="R22" s="67"/>
      <c r="S22" s="67"/>
      <c r="T22" s="67"/>
      <c r="U22" s="67"/>
      <c r="V22" s="67"/>
      <c r="W22" s="67"/>
      <c r="X22" s="247" t="s">
        <v>432</v>
      </c>
      <c r="Y22" s="247">
        <f>SQRT(Y21^2+Y20^2)</f>
        <v>0.2828427125</v>
      </c>
      <c r="Z22" s="67"/>
      <c r="AA22" s="67"/>
      <c r="AB22" s="67"/>
      <c r="AC22" s="67"/>
    </row>
    <row r="23" ht="12.0" customHeight="1">
      <c r="A23" s="67">
        <f>VINMAX</f>
        <v>30</v>
      </c>
      <c r="B23" s="244">
        <f>VINMAX*((ROW()-10)/104)</f>
        <v>3.75</v>
      </c>
      <c r="C23" s="222">
        <f t="shared" si="1"/>
        <v>0</v>
      </c>
      <c r="D23" s="224">
        <f>B2</f>
        <v>49.6</v>
      </c>
      <c r="E23" s="43">
        <f t="shared" si="2"/>
        <v>1.88952381</v>
      </c>
      <c r="F23" s="222">
        <f>I_Cout_ss+C23</f>
        <v>0.1684210526</v>
      </c>
      <c r="G23" s="222">
        <f t="shared" si="3"/>
        <v>0.1684210526</v>
      </c>
      <c r="H23" s="222">
        <f t="shared" si="4"/>
        <v>0.1684210526</v>
      </c>
      <c r="I23" s="221">
        <f>(COUTMAX/1000000)*(B23-B22)/H23</f>
        <v>0.002397836538</v>
      </c>
      <c r="J23" s="221">
        <f t="shared" si="9"/>
        <v>0.031171875</v>
      </c>
      <c r="K23" s="243">
        <f t="shared" si="5"/>
        <v>31.171875</v>
      </c>
      <c r="L23" s="223">
        <f t="shared" si="6"/>
        <v>1</v>
      </c>
      <c r="M23" s="67">
        <f>1/COUTMAX*(E23/2-C23)*1000</f>
        <v>0.674829932</v>
      </c>
      <c r="N23" s="241">
        <f t="shared" si="7"/>
        <v>0.01060096154</v>
      </c>
      <c r="O23" s="67">
        <f t="shared" si="8"/>
        <v>4.421052632</v>
      </c>
      <c r="P23" s="67">
        <f>(A23-B23)*(I_Cout_ss*$Q$2+C23)</f>
        <v>6.078947368</v>
      </c>
      <c r="Q23" s="67">
        <f>(A23-B23)*(I_Cout_ss*$R$2+C23)</f>
        <v>2.763157895</v>
      </c>
      <c r="R23" s="67"/>
      <c r="S23" s="67"/>
      <c r="T23" s="67"/>
      <c r="U23" s="67"/>
      <c r="V23" s="67"/>
      <c r="W23" s="67"/>
      <c r="X23" s="247"/>
      <c r="Y23" s="247"/>
      <c r="Z23" s="67"/>
      <c r="AA23" s="67"/>
      <c r="AB23" s="67"/>
      <c r="AC23" s="67"/>
    </row>
    <row r="24" ht="12.0" customHeight="1">
      <c r="A24" s="67">
        <f>VINMAX</f>
        <v>30</v>
      </c>
      <c r="B24" s="244">
        <f>VINMAX*((ROW()-10)/104)</f>
        <v>4.038461538</v>
      </c>
      <c r="C24" s="222">
        <f t="shared" si="1"/>
        <v>0</v>
      </c>
      <c r="D24" s="224">
        <f>B2</f>
        <v>49.6</v>
      </c>
      <c r="E24" s="43">
        <f t="shared" si="2"/>
        <v>1.910518519</v>
      </c>
      <c r="F24" s="222">
        <f>I_Cout_ss+C24</f>
        <v>0.1684210526</v>
      </c>
      <c r="G24" s="222">
        <f t="shared" si="3"/>
        <v>0.1684210526</v>
      </c>
      <c r="H24" s="222">
        <f t="shared" si="4"/>
        <v>0.1684210526</v>
      </c>
      <c r="I24" s="221">
        <f>(COUTMAX/1000000)*(B24-B23)/H24</f>
        <v>0.002397836538</v>
      </c>
      <c r="J24" s="221">
        <f t="shared" si="9"/>
        <v>0.03356971154</v>
      </c>
      <c r="K24" s="243">
        <f t="shared" si="5"/>
        <v>33.56971154</v>
      </c>
      <c r="L24" s="223">
        <f t="shared" si="6"/>
        <v>1</v>
      </c>
      <c r="M24" s="67">
        <f>1/COUTMAX*(E24/2-C24)*1000</f>
        <v>0.6823280423</v>
      </c>
      <c r="N24" s="241">
        <f t="shared" si="7"/>
        <v>0.01048446746</v>
      </c>
      <c r="O24" s="67">
        <f t="shared" si="8"/>
        <v>4.372469636</v>
      </c>
      <c r="P24" s="67">
        <f>(A24-B24)*(I_Cout_ss*$Q$2+C24)</f>
        <v>6.012145749</v>
      </c>
      <c r="Q24" s="67">
        <f>(A24-B24)*(I_Cout_ss*$R$2+C24)</f>
        <v>2.732793522</v>
      </c>
      <c r="R24" s="67"/>
      <c r="S24" s="67"/>
      <c r="T24" s="67"/>
      <c r="U24" s="67"/>
      <c r="V24" s="67"/>
      <c r="W24" s="67"/>
      <c r="X24" s="247" t="s">
        <v>436</v>
      </c>
      <c r="Y24" s="247">
        <f>SQRT(Y18^2+Y22^2)</f>
        <v>0.5099019514</v>
      </c>
      <c r="Z24" s="67"/>
      <c r="AA24" s="67"/>
      <c r="AB24" s="67"/>
      <c r="AC24" s="67"/>
    </row>
    <row r="25" ht="12.0" customHeight="1">
      <c r="A25" s="67">
        <f>VINMAX</f>
        <v>30</v>
      </c>
      <c r="B25" s="244">
        <f>VINMAX*((ROW()-10)/104)</f>
        <v>4.326923077</v>
      </c>
      <c r="C25" s="222">
        <f t="shared" si="1"/>
        <v>0</v>
      </c>
      <c r="D25" s="224">
        <f>B2</f>
        <v>49.6</v>
      </c>
      <c r="E25" s="43">
        <f t="shared" si="2"/>
        <v>1.931985019</v>
      </c>
      <c r="F25" s="222">
        <f>I_Cout_ss+C25</f>
        <v>0.1684210526</v>
      </c>
      <c r="G25" s="222">
        <f t="shared" si="3"/>
        <v>0.1684210526</v>
      </c>
      <c r="H25" s="222">
        <f t="shared" si="4"/>
        <v>0.1684210526</v>
      </c>
      <c r="I25" s="221">
        <f>(COUTMAX/1000000)*(B25-B24)/H25</f>
        <v>0.002397836538</v>
      </c>
      <c r="J25" s="221">
        <f t="shared" si="9"/>
        <v>0.03596754808</v>
      </c>
      <c r="K25" s="243">
        <f t="shared" si="5"/>
        <v>35.96754808</v>
      </c>
      <c r="L25" s="223">
        <f t="shared" si="6"/>
        <v>1</v>
      </c>
      <c r="M25" s="67">
        <f>1/COUTMAX*(E25/2-C25)*1000</f>
        <v>0.6899946495</v>
      </c>
      <c r="N25" s="241">
        <f t="shared" si="7"/>
        <v>0.01036797337</v>
      </c>
      <c r="O25" s="67">
        <f t="shared" si="8"/>
        <v>4.32388664</v>
      </c>
      <c r="P25" s="67">
        <f>(A25-B25)*(I_Cout_ss*$Q$2+C25)</f>
        <v>5.94534413</v>
      </c>
      <c r="Q25" s="67">
        <f>(A25-B25)*(I_Cout_ss*$R$2+C25)</f>
        <v>2.70242915</v>
      </c>
      <c r="R25" s="67"/>
      <c r="S25" s="67"/>
      <c r="T25" s="67"/>
      <c r="U25" s="67"/>
      <c r="V25" s="67"/>
      <c r="W25" s="67"/>
      <c r="X25" s="67"/>
      <c r="Y25" s="67"/>
      <c r="Z25" s="67"/>
      <c r="AA25" s="67"/>
      <c r="AB25" s="67"/>
      <c r="AC25" s="67"/>
    </row>
    <row r="26" ht="12.0" customHeight="1">
      <c r="A26" s="67">
        <f>VINMAX</f>
        <v>30</v>
      </c>
      <c r="B26" s="244">
        <f>VINMAX*((ROW()-10)/104)</f>
        <v>4.615384615</v>
      </c>
      <c r="C26" s="222">
        <f t="shared" si="1"/>
        <v>0</v>
      </c>
      <c r="D26" s="224">
        <f>B2</f>
        <v>49.6</v>
      </c>
      <c r="E26" s="43">
        <f t="shared" si="2"/>
        <v>1.953939394</v>
      </c>
      <c r="F26" s="222">
        <f>I_Cout_ss+C26</f>
        <v>0.1684210526</v>
      </c>
      <c r="G26" s="222">
        <f t="shared" si="3"/>
        <v>0.1684210526</v>
      </c>
      <c r="H26" s="222">
        <f t="shared" si="4"/>
        <v>0.1684210526</v>
      </c>
      <c r="I26" s="221">
        <f>(COUTMAX/1000000)*(B26-B25)/H26</f>
        <v>0.002397836538</v>
      </c>
      <c r="J26" s="221">
        <f t="shared" si="9"/>
        <v>0.03836538462</v>
      </c>
      <c r="K26" s="243">
        <f t="shared" si="5"/>
        <v>38.36538462</v>
      </c>
      <c r="L26" s="223">
        <f t="shared" si="6"/>
        <v>1</v>
      </c>
      <c r="M26" s="67">
        <f>1/COUTMAX*(E26/2-C26)*1000</f>
        <v>0.6978354978</v>
      </c>
      <c r="N26" s="241">
        <f t="shared" si="7"/>
        <v>0.01025147929</v>
      </c>
      <c r="O26" s="67">
        <f t="shared" si="8"/>
        <v>4.275303644</v>
      </c>
      <c r="P26" s="67">
        <f>(A26-B26)*(I_Cout_ss*$Q$2+C26)</f>
        <v>5.87854251</v>
      </c>
      <c r="Q26" s="67">
        <f>(A26-B26)*(I_Cout_ss*$R$2+C26)</f>
        <v>2.672064777</v>
      </c>
      <c r="R26" s="67"/>
      <c r="S26" s="67"/>
      <c r="T26" s="67"/>
      <c r="U26" s="67"/>
      <c r="V26" s="67"/>
      <c r="W26" s="67"/>
      <c r="X26" s="67"/>
      <c r="Y26" s="67"/>
      <c r="Z26" s="67"/>
      <c r="AA26" s="67"/>
      <c r="AB26" s="67"/>
      <c r="AC26" s="67"/>
    </row>
    <row r="27" ht="12.0" customHeight="1">
      <c r="A27" s="67">
        <f>VINMAX</f>
        <v>30</v>
      </c>
      <c r="B27" s="244">
        <f>VINMAX*((ROW()-10)/104)</f>
        <v>4.903846154</v>
      </c>
      <c r="C27" s="222">
        <f t="shared" si="1"/>
        <v>0</v>
      </c>
      <c r="D27" s="224">
        <f>B2</f>
        <v>49.6</v>
      </c>
      <c r="E27" s="43">
        <f t="shared" si="2"/>
        <v>1.976398467</v>
      </c>
      <c r="F27" s="222">
        <f>I_Cout_ss+C27</f>
        <v>0.1684210526</v>
      </c>
      <c r="G27" s="222">
        <f t="shared" si="3"/>
        <v>0.1684210526</v>
      </c>
      <c r="H27" s="222">
        <f t="shared" si="4"/>
        <v>0.1684210526</v>
      </c>
      <c r="I27" s="221">
        <f>(COUTMAX/1000000)*(B27-B26)/H27</f>
        <v>0.002397836538</v>
      </c>
      <c r="J27" s="221">
        <f t="shared" si="9"/>
        <v>0.04076322115</v>
      </c>
      <c r="K27" s="243">
        <f t="shared" si="5"/>
        <v>40.76322115</v>
      </c>
      <c r="L27" s="223">
        <f t="shared" si="6"/>
        <v>1</v>
      </c>
      <c r="M27" s="67">
        <f>1/COUTMAX*(E27/2-C27)*1000</f>
        <v>0.7058565955</v>
      </c>
      <c r="N27" s="241">
        <f t="shared" si="7"/>
        <v>0.01013498521</v>
      </c>
      <c r="O27" s="67">
        <f t="shared" si="8"/>
        <v>4.226720648</v>
      </c>
      <c r="P27" s="67">
        <f>(A27-B27)*(I_Cout_ss*$Q$2+C27)</f>
        <v>5.811740891</v>
      </c>
      <c r="Q27" s="67">
        <f>(A27-B27)*(I_Cout_ss*$R$2+C27)</f>
        <v>2.641700405</v>
      </c>
      <c r="R27" s="67"/>
      <c r="S27" s="67"/>
      <c r="T27" s="67"/>
      <c r="U27" s="67"/>
      <c r="V27" s="67"/>
      <c r="W27" s="67"/>
      <c r="X27" s="67"/>
      <c r="Y27" s="67"/>
      <c r="Z27" s="67"/>
      <c r="AA27" s="67"/>
      <c r="AB27" s="67"/>
      <c r="AC27" s="67"/>
    </row>
    <row r="28" ht="12.0" customHeight="1">
      <c r="A28" s="67">
        <f>VINMAX</f>
        <v>30</v>
      </c>
      <c r="B28" s="244">
        <f>VINMAX*((ROW()-10)/104)</f>
        <v>5.192307692</v>
      </c>
      <c r="C28" s="222">
        <f t="shared" si="1"/>
        <v>0</v>
      </c>
      <c r="D28" s="224">
        <f>B2</f>
        <v>49.6</v>
      </c>
      <c r="E28" s="43">
        <f t="shared" si="2"/>
        <v>1.999379845</v>
      </c>
      <c r="F28" s="222">
        <f>I_Cout_ss+C28</f>
        <v>0.1684210526</v>
      </c>
      <c r="G28" s="222">
        <f t="shared" si="3"/>
        <v>0.1684210526</v>
      </c>
      <c r="H28" s="222">
        <f t="shared" si="4"/>
        <v>0.1684210526</v>
      </c>
      <c r="I28" s="221">
        <f>(COUTMAX/1000000)*(B28-B27)/H28</f>
        <v>0.002397836538</v>
      </c>
      <c r="J28" s="221">
        <f t="shared" si="9"/>
        <v>0.04316105769</v>
      </c>
      <c r="K28" s="243">
        <f t="shared" si="5"/>
        <v>43.16105769</v>
      </c>
      <c r="L28" s="223">
        <f t="shared" si="6"/>
        <v>1</v>
      </c>
      <c r="M28" s="67">
        <f>1/COUTMAX*(E28/2-C28)*1000</f>
        <v>0.7140642303</v>
      </c>
      <c r="N28" s="241">
        <f t="shared" si="7"/>
        <v>0.01001849112</v>
      </c>
      <c r="O28" s="67">
        <f t="shared" si="8"/>
        <v>4.178137652</v>
      </c>
      <c r="P28" s="67">
        <f>(A28-B28)*(I_Cout_ss*$Q$2+C28)</f>
        <v>5.744939271</v>
      </c>
      <c r="Q28" s="67">
        <f>(A28-B28)*(I_Cout_ss*$R$2+C28)</f>
        <v>2.611336032</v>
      </c>
      <c r="R28" s="67"/>
      <c r="S28" s="67"/>
      <c r="T28" s="67"/>
      <c r="U28" s="67"/>
      <c r="V28" s="67"/>
      <c r="W28" s="67"/>
      <c r="X28" s="67"/>
      <c r="Y28" s="67"/>
      <c r="Z28" s="67"/>
      <c r="AA28" s="67"/>
      <c r="AB28" s="67"/>
      <c r="AC28" s="67"/>
    </row>
    <row r="29" ht="12.0" customHeight="1">
      <c r="A29" s="67">
        <f>VINMAX</f>
        <v>30</v>
      </c>
      <c r="B29" s="244">
        <f>VINMAX*((ROW()-10)/104)</f>
        <v>5.480769231</v>
      </c>
      <c r="C29" s="222">
        <f t="shared" si="1"/>
        <v>0</v>
      </c>
      <c r="D29" s="224">
        <f>B2</f>
        <v>49.6</v>
      </c>
      <c r="E29" s="43">
        <f t="shared" si="2"/>
        <v>2.022901961</v>
      </c>
      <c r="F29" s="222">
        <f>I_Cout_ss+C29</f>
        <v>0.1684210526</v>
      </c>
      <c r="G29" s="222">
        <f t="shared" si="3"/>
        <v>0.1684210526</v>
      </c>
      <c r="H29" s="222">
        <f t="shared" si="4"/>
        <v>0.1684210526</v>
      </c>
      <c r="I29" s="221">
        <f>(COUTMAX/1000000)*(B29-B28)/H29</f>
        <v>0.002397836538</v>
      </c>
      <c r="J29" s="221">
        <f t="shared" si="9"/>
        <v>0.04555889423</v>
      </c>
      <c r="K29" s="243">
        <f t="shared" si="5"/>
        <v>45.55889423</v>
      </c>
      <c r="L29" s="223">
        <f t="shared" si="6"/>
        <v>1</v>
      </c>
      <c r="M29" s="67">
        <f>1/COUTMAX*(E29/2-C29)*1000</f>
        <v>0.722464986</v>
      </c>
      <c r="N29" s="241">
        <f t="shared" si="7"/>
        <v>0.009901997041</v>
      </c>
      <c r="O29" s="67">
        <f t="shared" si="8"/>
        <v>4.129554656</v>
      </c>
      <c r="P29" s="67">
        <f>(A29-B29)*(I_Cout_ss*$Q$2+C29)</f>
        <v>5.678137652</v>
      </c>
      <c r="Q29" s="67">
        <f>(A29-B29)*(I_Cout_ss*$R$2+C29)</f>
        <v>2.58097166</v>
      </c>
      <c r="R29" s="67"/>
      <c r="S29" s="67"/>
      <c r="T29" s="67"/>
      <c r="U29" s="67"/>
      <c r="V29" s="67"/>
      <c r="W29" s="67"/>
      <c r="X29" s="67"/>
      <c r="Y29" s="67"/>
      <c r="Z29" s="67"/>
      <c r="AA29" s="67"/>
      <c r="AB29" s="67"/>
      <c r="AC29" s="67"/>
    </row>
    <row r="30" ht="12.0" customHeight="1">
      <c r="A30" s="67">
        <f>VINMAX</f>
        <v>30</v>
      </c>
      <c r="B30" s="244">
        <f>VINMAX*((ROW()-10)/104)</f>
        <v>5.769230769</v>
      </c>
      <c r="C30" s="222">
        <f t="shared" si="1"/>
        <v>0</v>
      </c>
      <c r="D30" s="224">
        <f>B2</f>
        <v>49.6</v>
      </c>
      <c r="E30" s="43">
        <f t="shared" si="2"/>
        <v>2.046984127</v>
      </c>
      <c r="F30" s="222">
        <f>I_Cout_ss+C30</f>
        <v>0.1684210526</v>
      </c>
      <c r="G30" s="222">
        <f t="shared" si="3"/>
        <v>0.1684210526</v>
      </c>
      <c r="H30" s="222">
        <f t="shared" si="4"/>
        <v>0.1684210526</v>
      </c>
      <c r="I30" s="221">
        <f>(COUTMAX/1000000)*(B30-B29)/H30</f>
        <v>0.002397836538</v>
      </c>
      <c r="J30" s="221">
        <f t="shared" si="9"/>
        <v>0.04795673077</v>
      </c>
      <c r="K30" s="243">
        <f t="shared" si="5"/>
        <v>47.95673077</v>
      </c>
      <c r="L30" s="223">
        <f t="shared" si="6"/>
        <v>1</v>
      </c>
      <c r="M30" s="67">
        <f>1/COUTMAX*(E30/2-C30)*1000</f>
        <v>0.7310657596</v>
      </c>
      <c r="N30" s="241">
        <f t="shared" si="7"/>
        <v>0.009785502959</v>
      </c>
      <c r="O30" s="67">
        <f t="shared" si="8"/>
        <v>4.08097166</v>
      </c>
      <c r="P30" s="67">
        <f>(A30-B30)*(I_Cout_ss*$Q$2+C30)</f>
        <v>5.611336032</v>
      </c>
      <c r="Q30" s="67">
        <f>(A30-B30)*(I_Cout_ss*$R$2+C30)</f>
        <v>2.550607287</v>
      </c>
      <c r="R30" s="67"/>
      <c r="S30" s="67"/>
      <c r="T30" s="67"/>
      <c r="U30" s="67"/>
      <c r="V30" s="67"/>
      <c r="W30" s="67"/>
      <c r="X30" s="67"/>
      <c r="Y30" s="67"/>
      <c r="Z30" s="67"/>
      <c r="AA30" s="67"/>
      <c r="AB30" s="67"/>
      <c r="AC30" s="67"/>
    </row>
    <row r="31" ht="12.0" customHeight="1">
      <c r="A31" s="67">
        <f>VINMAX</f>
        <v>30</v>
      </c>
      <c r="B31" s="244">
        <f>VINMAX*((ROW()-10)/104)</f>
        <v>6.057692308</v>
      </c>
      <c r="C31" s="222">
        <f t="shared" si="1"/>
        <v>0</v>
      </c>
      <c r="D31" s="224">
        <f>B2</f>
        <v>49.6</v>
      </c>
      <c r="E31" s="43">
        <f t="shared" si="2"/>
        <v>2.071646586</v>
      </c>
      <c r="F31" s="222">
        <f>I_Cout_ss+C31</f>
        <v>0.1684210526</v>
      </c>
      <c r="G31" s="222">
        <f t="shared" si="3"/>
        <v>0.1684210526</v>
      </c>
      <c r="H31" s="222">
        <f t="shared" si="4"/>
        <v>0.1684210526</v>
      </c>
      <c r="I31" s="221">
        <f>(COUTMAX/1000000)*(B31-B30)/H31</f>
        <v>0.002397836538</v>
      </c>
      <c r="J31" s="221">
        <f t="shared" si="9"/>
        <v>0.05035456731</v>
      </c>
      <c r="K31" s="243">
        <f t="shared" si="5"/>
        <v>50.35456731</v>
      </c>
      <c r="L31" s="223">
        <f t="shared" si="6"/>
        <v>1</v>
      </c>
      <c r="M31" s="67">
        <f>1/COUTMAX*(E31/2-C31)*1000</f>
        <v>0.7398737808</v>
      </c>
      <c r="N31" s="241">
        <f t="shared" si="7"/>
        <v>0.009669008876</v>
      </c>
      <c r="O31" s="67">
        <f t="shared" si="8"/>
        <v>4.032388664</v>
      </c>
      <c r="P31" s="67">
        <f>(A31-B31)*(I_Cout_ss*$Q$2+C31)</f>
        <v>5.544534413</v>
      </c>
      <c r="Q31" s="67">
        <f>(A31-B31)*(I_Cout_ss*$R$2+C31)</f>
        <v>2.520242915</v>
      </c>
      <c r="R31" s="67"/>
      <c r="S31" s="67"/>
      <c r="T31" s="67"/>
      <c r="U31" s="67"/>
      <c r="V31" s="67"/>
      <c r="W31" s="67"/>
      <c r="X31" s="67"/>
      <c r="Y31" s="67"/>
      <c r="Z31" s="67"/>
      <c r="AA31" s="67"/>
      <c r="AB31" s="67"/>
      <c r="AC31" s="67"/>
    </row>
    <row r="32" ht="12.0" customHeight="1">
      <c r="A32" s="67">
        <f>VINMAX</f>
        <v>30</v>
      </c>
      <c r="B32" s="244">
        <f>VINMAX*((ROW()-10)/104)</f>
        <v>6.346153846</v>
      </c>
      <c r="C32" s="222">
        <f t="shared" si="1"/>
        <v>0</v>
      </c>
      <c r="D32" s="224">
        <f>B2</f>
        <v>49.6</v>
      </c>
      <c r="E32" s="43">
        <f t="shared" si="2"/>
        <v>2.096910569</v>
      </c>
      <c r="F32" s="222">
        <f>I_Cout_ss+C32</f>
        <v>0.1684210526</v>
      </c>
      <c r="G32" s="222">
        <f t="shared" si="3"/>
        <v>0.1684210526</v>
      </c>
      <c r="H32" s="222">
        <f t="shared" si="4"/>
        <v>0.1684210526</v>
      </c>
      <c r="I32" s="221">
        <f>(COUTMAX/1000000)*(B32-B31)/H32</f>
        <v>0.002397836538</v>
      </c>
      <c r="J32" s="221">
        <f t="shared" si="9"/>
        <v>0.05275240385</v>
      </c>
      <c r="K32" s="243">
        <f t="shared" si="5"/>
        <v>52.75240385</v>
      </c>
      <c r="L32" s="223">
        <f t="shared" si="6"/>
        <v>1</v>
      </c>
      <c r="M32" s="67">
        <f>1/COUTMAX*(E32/2-C32)*1000</f>
        <v>0.7488966318</v>
      </c>
      <c r="N32" s="241">
        <f t="shared" si="7"/>
        <v>0.009552514793</v>
      </c>
      <c r="O32" s="67">
        <f t="shared" si="8"/>
        <v>3.983805668</v>
      </c>
      <c r="P32" s="67">
        <f>(A32-B32)*(I_Cout_ss*$Q$2+C32)</f>
        <v>5.477732794</v>
      </c>
      <c r="Q32" s="67">
        <f>(A32-B32)*(I_Cout_ss*$R$2+C32)</f>
        <v>2.489878543</v>
      </c>
      <c r="R32" s="67"/>
      <c r="S32" s="67"/>
      <c r="T32" s="67"/>
      <c r="U32" s="67"/>
      <c r="V32" s="67"/>
      <c r="W32" s="67"/>
      <c r="X32" s="67"/>
      <c r="Y32" s="67"/>
      <c r="Z32" s="67"/>
      <c r="AA32" s="67"/>
      <c r="AB32" s="67"/>
      <c r="AC32" s="67"/>
    </row>
    <row r="33" ht="12.0" customHeight="1">
      <c r="A33" s="67">
        <f>VINMAX</f>
        <v>30</v>
      </c>
      <c r="B33" s="244">
        <f>VINMAX*((ROW()-10)/104)</f>
        <v>6.634615385</v>
      </c>
      <c r="C33" s="222">
        <f t="shared" si="1"/>
        <v>0</v>
      </c>
      <c r="D33" s="224">
        <f>B2</f>
        <v>49.6</v>
      </c>
      <c r="E33" s="43">
        <f t="shared" si="2"/>
        <v>2.122798354</v>
      </c>
      <c r="F33" s="222">
        <f>I_Cout_ss+C33</f>
        <v>0.1684210526</v>
      </c>
      <c r="G33" s="222">
        <f t="shared" si="3"/>
        <v>0.1684210526</v>
      </c>
      <c r="H33" s="222">
        <f t="shared" si="4"/>
        <v>0.1684210526</v>
      </c>
      <c r="I33" s="221">
        <f>(COUTMAX/1000000)*(B33-B32)/H33</f>
        <v>0.002397836538</v>
      </c>
      <c r="J33" s="221">
        <f t="shared" si="9"/>
        <v>0.05515024038</v>
      </c>
      <c r="K33" s="243">
        <f t="shared" si="5"/>
        <v>55.15024038</v>
      </c>
      <c r="L33" s="223">
        <f t="shared" si="6"/>
        <v>1</v>
      </c>
      <c r="M33" s="67">
        <f>1/COUTMAX*(E33/2-C33)*1000</f>
        <v>0.7581422693</v>
      </c>
      <c r="N33" s="241">
        <f t="shared" si="7"/>
        <v>0.00943602071</v>
      </c>
      <c r="O33" s="67">
        <f t="shared" si="8"/>
        <v>3.935222672</v>
      </c>
      <c r="P33" s="67">
        <f>(A33-B33)*(I_Cout_ss*$Q$2+C33)</f>
        <v>5.410931174</v>
      </c>
      <c r="Q33" s="67">
        <f>(A33-B33)*(I_Cout_ss*$R$2+C33)</f>
        <v>2.45951417</v>
      </c>
      <c r="R33" s="67"/>
      <c r="S33" s="67"/>
      <c r="T33" s="67"/>
      <c r="U33" s="67"/>
      <c r="V33" s="67"/>
      <c r="W33" s="67"/>
      <c r="X33" s="67"/>
      <c r="Y33" s="67"/>
      <c r="Z33" s="67"/>
      <c r="AA33" s="67"/>
      <c r="AB33" s="67"/>
      <c r="AC33" s="67"/>
    </row>
    <row r="34" ht="12.0" customHeight="1">
      <c r="A34" s="67">
        <f>VINMAX</f>
        <v>30</v>
      </c>
      <c r="B34" s="244">
        <f>VINMAX*((ROW()-10)/104)</f>
        <v>6.923076923</v>
      </c>
      <c r="C34" s="222">
        <f t="shared" si="1"/>
        <v>0</v>
      </c>
      <c r="D34" s="224">
        <f>B2</f>
        <v>49.6</v>
      </c>
      <c r="E34" s="43">
        <f t="shared" si="2"/>
        <v>2.149333333</v>
      </c>
      <c r="F34" s="222">
        <f>I_Cout_ss+C34</f>
        <v>0.1684210526</v>
      </c>
      <c r="G34" s="222">
        <f t="shared" si="3"/>
        <v>0.1684210526</v>
      </c>
      <c r="H34" s="222">
        <f t="shared" si="4"/>
        <v>0.1684210526</v>
      </c>
      <c r="I34" s="221">
        <f>(COUTMAX/1000000)*(B34-B33)/H34</f>
        <v>0.002397836538</v>
      </c>
      <c r="J34" s="221">
        <f t="shared" si="9"/>
        <v>0.05754807692</v>
      </c>
      <c r="K34" s="243">
        <f t="shared" si="5"/>
        <v>57.54807692</v>
      </c>
      <c r="L34" s="223">
        <f t="shared" si="6"/>
        <v>1</v>
      </c>
      <c r="M34" s="67">
        <f>1/COUTMAX*(E34/2-C34)*1000</f>
        <v>0.7676190476</v>
      </c>
      <c r="N34" s="241">
        <f t="shared" si="7"/>
        <v>0.009319526627</v>
      </c>
      <c r="O34" s="67">
        <f t="shared" si="8"/>
        <v>3.886639676</v>
      </c>
      <c r="P34" s="67">
        <f>(A34-B34)*(I_Cout_ss*$Q$2+C34)</f>
        <v>5.344129555</v>
      </c>
      <c r="Q34" s="67">
        <f>(A34-B34)*(I_Cout_ss*$R$2+C34)</f>
        <v>2.429149798</v>
      </c>
      <c r="R34" s="67"/>
      <c r="S34" s="67"/>
      <c r="T34" s="67"/>
      <c r="U34" s="67"/>
      <c r="V34" s="67"/>
      <c r="W34" s="67"/>
      <c r="X34" s="67"/>
      <c r="Y34" s="67"/>
      <c r="Z34" s="67"/>
      <c r="AA34" s="67"/>
      <c r="AB34" s="67"/>
      <c r="AC34" s="67"/>
    </row>
    <row r="35" ht="12.0" customHeight="1">
      <c r="A35" s="67">
        <f>VINMAX</f>
        <v>30</v>
      </c>
      <c r="B35" s="244">
        <f>VINMAX*((ROW()-10)/104)</f>
        <v>7.211538462</v>
      </c>
      <c r="C35" s="222">
        <f t="shared" si="1"/>
        <v>0</v>
      </c>
      <c r="D35" s="224">
        <f>B2</f>
        <v>49.6</v>
      </c>
      <c r="E35" s="43">
        <f t="shared" si="2"/>
        <v>2.176540084</v>
      </c>
      <c r="F35" s="222">
        <f>I_Cout_ss+C35</f>
        <v>0.1684210526</v>
      </c>
      <c r="G35" s="222">
        <f t="shared" si="3"/>
        <v>0.1684210526</v>
      </c>
      <c r="H35" s="222">
        <f t="shared" si="4"/>
        <v>0.1684210526</v>
      </c>
      <c r="I35" s="221">
        <f>(COUTMAX/1000000)*(B35-B34)/H35</f>
        <v>0.002397836538</v>
      </c>
      <c r="J35" s="221">
        <f t="shared" si="9"/>
        <v>0.05994591346</v>
      </c>
      <c r="K35" s="243">
        <f t="shared" si="5"/>
        <v>59.94591346</v>
      </c>
      <c r="L35" s="223">
        <f t="shared" si="6"/>
        <v>1</v>
      </c>
      <c r="M35" s="67">
        <f>1/COUTMAX*(E35/2-C35)*1000</f>
        <v>0.7773357444</v>
      </c>
      <c r="N35" s="241">
        <f t="shared" si="7"/>
        <v>0.009203032544</v>
      </c>
      <c r="O35" s="67">
        <f t="shared" si="8"/>
        <v>3.83805668</v>
      </c>
      <c r="P35" s="67">
        <f>(A35-B35)*(I_Cout_ss*$Q$2+C35)</f>
        <v>5.277327935</v>
      </c>
      <c r="Q35" s="67">
        <f>(A35-B35)*(I_Cout_ss*$R$2+C35)</f>
        <v>2.398785425</v>
      </c>
      <c r="R35" s="67"/>
      <c r="S35" s="67"/>
      <c r="T35" s="67"/>
      <c r="U35" s="67"/>
      <c r="V35" s="67"/>
      <c r="W35" s="67"/>
      <c r="X35" s="67"/>
      <c r="Y35" s="67"/>
      <c r="Z35" s="67"/>
      <c r="AA35" s="67"/>
      <c r="AB35" s="67"/>
      <c r="AC35" s="67"/>
    </row>
    <row r="36" ht="12.0" customHeight="1">
      <c r="A36" s="67">
        <f>VINMAX</f>
        <v>30</v>
      </c>
      <c r="B36" s="244">
        <f>VINMAX*((ROW()-10)/104)</f>
        <v>7.5</v>
      </c>
      <c r="C36" s="222">
        <f t="shared" si="1"/>
        <v>0</v>
      </c>
      <c r="D36" s="224">
        <f>B2</f>
        <v>49.6</v>
      </c>
      <c r="E36" s="43">
        <f t="shared" si="2"/>
        <v>2.204444444</v>
      </c>
      <c r="F36" s="222">
        <f>I_Cout_ss+C36</f>
        <v>0.1684210526</v>
      </c>
      <c r="G36" s="222">
        <f t="shared" si="3"/>
        <v>0.1684210526</v>
      </c>
      <c r="H36" s="222">
        <f t="shared" si="4"/>
        <v>0.1684210526</v>
      </c>
      <c r="I36" s="221">
        <f>(COUTMAX/1000000)*(B36-B35)/H36</f>
        <v>0.002397836538</v>
      </c>
      <c r="J36" s="221">
        <f t="shared" si="9"/>
        <v>0.06234375</v>
      </c>
      <c r="K36" s="243">
        <f t="shared" si="5"/>
        <v>62.34375</v>
      </c>
      <c r="L36" s="223">
        <f t="shared" si="6"/>
        <v>1</v>
      </c>
      <c r="M36" s="67">
        <f>1/COUTMAX*(E36/2-C36)*1000</f>
        <v>0.7873015873</v>
      </c>
      <c r="N36" s="241">
        <f t="shared" si="7"/>
        <v>0.009086538462</v>
      </c>
      <c r="O36" s="67">
        <f t="shared" si="8"/>
        <v>3.789473684</v>
      </c>
      <c r="P36" s="67">
        <f>(A36-B36)*(I_Cout_ss*$Q$2+C36)</f>
        <v>5.210526316</v>
      </c>
      <c r="Q36" s="67">
        <f>(A36-B36)*(I_Cout_ss*$R$2+C36)</f>
        <v>2.368421053</v>
      </c>
      <c r="R36" s="67"/>
      <c r="S36" s="67"/>
      <c r="T36" s="67"/>
      <c r="U36" s="67"/>
      <c r="V36" s="67"/>
      <c r="W36" s="67"/>
      <c r="X36" s="67"/>
      <c r="Y36" s="67"/>
      <c r="Z36" s="67"/>
      <c r="AA36" s="67"/>
      <c r="AB36" s="67"/>
      <c r="AC36" s="67"/>
    </row>
    <row r="37" ht="12.0" customHeight="1">
      <c r="A37" s="67">
        <f>VINMAX</f>
        <v>30</v>
      </c>
      <c r="B37" s="244">
        <f>VINMAX*((ROW()-10)/104)</f>
        <v>7.788461538</v>
      </c>
      <c r="C37" s="222">
        <f t="shared" si="1"/>
        <v>0</v>
      </c>
      <c r="D37" s="224">
        <f>B2</f>
        <v>49.6</v>
      </c>
      <c r="E37" s="43">
        <f t="shared" si="2"/>
        <v>2.233073593</v>
      </c>
      <c r="F37" s="222">
        <f>I_Cout_ss+C37</f>
        <v>0.1684210526</v>
      </c>
      <c r="G37" s="222">
        <f t="shared" si="3"/>
        <v>0.1684210526</v>
      </c>
      <c r="H37" s="222">
        <f t="shared" si="4"/>
        <v>0.1684210526</v>
      </c>
      <c r="I37" s="221">
        <f>(COUTMAX/1000000)*(B37-B36)/H37</f>
        <v>0.002397836538</v>
      </c>
      <c r="J37" s="221">
        <f t="shared" si="9"/>
        <v>0.06474158654</v>
      </c>
      <c r="K37" s="243">
        <f t="shared" si="5"/>
        <v>64.74158654</v>
      </c>
      <c r="L37" s="223">
        <f t="shared" si="6"/>
        <v>1</v>
      </c>
      <c r="M37" s="67">
        <f>1/COUTMAX*(E37/2-C37)*1000</f>
        <v>0.7975262832</v>
      </c>
      <c r="N37" s="241">
        <f t="shared" si="7"/>
        <v>0.008970044379</v>
      </c>
      <c r="O37" s="67">
        <f t="shared" si="8"/>
        <v>3.740890688</v>
      </c>
      <c r="P37" s="67">
        <f>(A37-B37)*(I_Cout_ss*$Q$2+C37)</f>
        <v>5.143724696</v>
      </c>
      <c r="Q37" s="67">
        <f>(A37-B37)*(I_Cout_ss*$R$2+C37)</f>
        <v>2.33805668</v>
      </c>
      <c r="R37" s="67"/>
      <c r="S37" s="67"/>
      <c r="T37" s="67"/>
      <c r="U37" s="67"/>
      <c r="V37" s="67"/>
      <c r="W37" s="67"/>
      <c r="X37" s="67"/>
      <c r="Y37" s="67"/>
      <c r="Z37" s="67"/>
      <c r="AA37" s="67"/>
      <c r="AB37" s="67"/>
      <c r="AC37" s="67"/>
    </row>
    <row r="38" ht="12.0" customHeight="1">
      <c r="A38" s="67">
        <f>VINMAX</f>
        <v>30</v>
      </c>
      <c r="B38" s="244">
        <f>VINMAX*((ROW()-10)/104)</f>
        <v>8.076923077</v>
      </c>
      <c r="C38" s="222">
        <f t="shared" si="1"/>
        <v>0</v>
      </c>
      <c r="D38" s="224">
        <f>B2</f>
        <v>49.6</v>
      </c>
      <c r="E38" s="43">
        <f t="shared" si="2"/>
        <v>2.26245614</v>
      </c>
      <c r="F38" s="222">
        <f>I_Cout_ss+C38</f>
        <v>0.1684210526</v>
      </c>
      <c r="G38" s="222">
        <f t="shared" si="3"/>
        <v>0.1684210526</v>
      </c>
      <c r="H38" s="222">
        <f t="shared" si="4"/>
        <v>0.1684210526</v>
      </c>
      <c r="I38" s="221">
        <f>(COUTMAX/1000000)*(B38-B37)/H38</f>
        <v>0.002397836538</v>
      </c>
      <c r="J38" s="221">
        <f t="shared" si="9"/>
        <v>0.06713942308</v>
      </c>
      <c r="K38" s="243">
        <f t="shared" si="5"/>
        <v>67.13942308</v>
      </c>
      <c r="L38" s="223">
        <f t="shared" si="6"/>
        <v>1</v>
      </c>
      <c r="M38" s="67">
        <f>1/COUTMAX*(E38/2-C38)*1000</f>
        <v>0.8080200501</v>
      </c>
      <c r="N38" s="241">
        <f t="shared" si="7"/>
        <v>0.008853550296</v>
      </c>
      <c r="O38" s="67">
        <f t="shared" si="8"/>
        <v>3.692307692</v>
      </c>
      <c r="P38" s="67">
        <f>(A38-B38)*(I_Cout_ss*$Q$2+C38)</f>
        <v>5.076923077</v>
      </c>
      <c r="Q38" s="67">
        <f>(A38-B38)*(I_Cout_ss*$R$2+C38)</f>
        <v>2.307692308</v>
      </c>
      <c r="R38" s="67"/>
      <c r="S38" s="67"/>
      <c r="T38" s="67"/>
      <c r="U38" s="67"/>
      <c r="V38" s="67"/>
      <c r="W38" s="67"/>
      <c r="X38" s="67"/>
      <c r="Y38" s="67"/>
      <c r="Z38" s="67"/>
      <c r="AA38" s="67"/>
      <c r="AB38" s="67"/>
      <c r="AC38" s="67"/>
    </row>
    <row r="39" ht="12.0" customHeight="1">
      <c r="A39" s="67">
        <f>VINMAX</f>
        <v>30</v>
      </c>
      <c r="B39" s="244">
        <f>VINMAX*((ROW()-10)/104)</f>
        <v>8.365384615</v>
      </c>
      <c r="C39" s="222">
        <f t="shared" si="1"/>
        <v>0</v>
      </c>
      <c r="D39" s="224">
        <f>B2</f>
        <v>49.6</v>
      </c>
      <c r="E39" s="43">
        <f t="shared" si="2"/>
        <v>2.292622222</v>
      </c>
      <c r="F39" s="222">
        <f>I_Cout_ss+C39</f>
        <v>0.1684210526</v>
      </c>
      <c r="G39" s="222">
        <f t="shared" si="3"/>
        <v>0.1684210526</v>
      </c>
      <c r="H39" s="222">
        <f t="shared" si="4"/>
        <v>0.1684210526</v>
      </c>
      <c r="I39" s="221">
        <f>(COUTMAX/1000000)*(B39-B38)/H39</f>
        <v>0.002397836538</v>
      </c>
      <c r="J39" s="221">
        <f t="shared" si="9"/>
        <v>0.06953725962</v>
      </c>
      <c r="K39" s="243">
        <f t="shared" si="5"/>
        <v>69.53725962</v>
      </c>
      <c r="L39" s="223">
        <f t="shared" si="6"/>
        <v>1</v>
      </c>
      <c r="M39" s="67">
        <f>1/COUTMAX*(E39/2-C39)*1000</f>
        <v>0.8187936508</v>
      </c>
      <c r="N39" s="241">
        <f t="shared" si="7"/>
        <v>0.008737056213</v>
      </c>
      <c r="O39" s="67">
        <f t="shared" si="8"/>
        <v>3.643724696</v>
      </c>
      <c r="P39" s="67">
        <f>(A39-B39)*(I_Cout_ss*$Q$2+C39)</f>
        <v>5.010121457</v>
      </c>
      <c r="Q39" s="67">
        <f>(A39-B39)*(I_Cout_ss*$R$2+C39)</f>
        <v>2.277327935</v>
      </c>
      <c r="R39" s="67"/>
      <c r="S39" s="67"/>
      <c r="T39" s="67"/>
      <c r="U39" s="67"/>
      <c r="V39" s="67"/>
      <c r="W39" s="67"/>
      <c r="X39" s="67"/>
      <c r="Y39" s="67"/>
      <c r="Z39" s="67"/>
      <c r="AA39" s="67"/>
      <c r="AB39" s="67"/>
      <c r="AC39" s="67"/>
    </row>
    <row r="40" ht="12.0" customHeight="1">
      <c r="A40" s="67">
        <f>VINMAX</f>
        <v>30</v>
      </c>
      <c r="B40" s="244">
        <f>VINMAX*((ROW()-10)/104)</f>
        <v>8.653846154</v>
      </c>
      <c r="C40" s="222">
        <f t="shared" si="1"/>
        <v>0</v>
      </c>
      <c r="D40" s="224">
        <f>B2</f>
        <v>49.6</v>
      </c>
      <c r="E40" s="43">
        <f t="shared" si="2"/>
        <v>2.323603604</v>
      </c>
      <c r="F40" s="222">
        <f>I_Cout_ss+C40</f>
        <v>0.1684210526</v>
      </c>
      <c r="G40" s="222">
        <f t="shared" si="3"/>
        <v>0.1684210526</v>
      </c>
      <c r="H40" s="222">
        <f t="shared" si="4"/>
        <v>0.1684210526</v>
      </c>
      <c r="I40" s="221">
        <f>(COUTMAX/1000000)*(B40-B39)/H40</f>
        <v>0.002397836538</v>
      </c>
      <c r="J40" s="221">
        <f t="shared" si="9"/>
        <v>0.07193509615</v>
      </c>
      <c r="K40" s="243">
        <f t="shared" si="5"/>
        <v>71.93509615</v>
      </c>
      <c r="L40" s="223">
        <f t="shared" si="6"/>
        <v>1</v>
      </c>
      <c r="M40" s="67">
        <f>1/COUTMAX*(E40/2-C40)*1000</f>
        <v>0.8298584299</v>
      </c>
      <c r="N40" s="241">
        <f t="shared" si="7"/>
        <v>0.00862056213</v>
      </c>
      <c r="O40" s="67">
        <f t="shared" si="8"/>
        <v>3.5951417</v>
      </c>
      <c r="P40" s="67">
        <f>(A40-B40)*(I_Cout_ss*$Q$2+C40)</f>
        <v>4.943319838</v>
      </c>
      <c r="Q40" s="67">
        <f>(A40-B40)*(I_Cout_ss*$R$2+C40)</f>
        <v>2.246963563</v>
      </c>
      <c r="R40" s="67"/>
      <c r="S40" s="67"/>
      <c r="T40" s="67"/>
      <c r="U40" s="67"/>
      <c r="V40" s="67"/>
      <c r="W40" s="67"/>
      <c r="X40" s="67"/>
      <c r="Y40" s="67"/>
      <c r="Z40" s="67"/>
      <c r="AA40" s="67"/>
      <c r="AB40" s="67"/>
      <c r="AC40" s="67"/>
    </row>
    <row r="41" ht="12.0" customHeight="1">
      <c r="A41" s="67">
        <f>VINMAX</f>
        <v>30</v>
      </c>
      <c r="B41" s="244">
        <f>VINMAX*((ROW()-10)/104)</f>
        <v>8.942307692</v>
      </c>
      <c r="C41" s="222">
        <f t="shared" si="1"/>
        <v>0</v>
      </c>
      <c r="D41" s="224">
        <f>B2</f>
        <v>49.6</v>
      </c>
      <c r="E41" s="43">
        <f t="shared" si="2"/>
        <v>2.35543379</v>
      </c>
      <c r="F41" s="222">
        <f>I_Cout_ss+C41</f>
        <v>0.1684210526</v>
      </c>
      <c r="G41" s="222">
        <f t="shared" si="3"/>
        <v>0.1684210526</v>
      </c>
      <c r="H41" s="222">
        <f t="shared" si="4"/>
        <v>0.1684210526</v>
      </c>
      <c r="I41" s="221">
        <f>(COUTMAX/1000000)*(B41-B40)/H41</f>
        <v>0.002397836538</v>
      </c>
      <c r="J41" s="221">
        <f t="shared" si="9"/>
        <v>0.07433293269</v>
      </c>
      <c r="K41" s="243">
        <f t="shared" si="5"/>
        <v>74.33293269</v>
      </c>
      <c r="L41" s="223">
        <f t="shared" si="6"/>
        <v>1</v>
      </c>
      <c r="M41" s="67">
        <f>1/COUTMAX*(E41/2-C41)*1000</f>
        <v>0.8412263536</v>
      </c>
      <c r="N41" s="241">
        <f t="shared" si="7"/>
        <v>0.008504068047</v>
      </c>
      <c r="O41" s="67">
        <f t="shared" si="8"/>
        <v>3.546558704</v>
      </c>
      <c r="P41" s="67">
        <f>(A41-B41)*(I_Cout_ss*$Q$2+C41)</f>
        <v>4.876518219</v>
      </c>
      <c r="Q41" s="67">
        <f>(A41-B41)*(I_Cout_ss*$R$2+C41)</f>
        <v>2.21659919</v>
      </c>
      <c r="R41" s="67"/>
      <c r="S41" s="67"/>
      <c r="T41" s="67"/>
      <c r="U41" s="67"/>
      <c r="V41" s="67"/>
      <c r="W41" s="67"/>
      <c r="X41" s="67"/>
      <c r="Y41" s="67"/>
      <c r="Z41" s="67"/>
      <c r="AA41" s="67"/>
      <c r="AB41" s="67"/>
      <c r="AC41" s="67"/>
    </row>
    <row r="42" ht="12.0" customHeight="1">
      <c r="A42" s="67">
        <f>VINMAX</f>
        <v>30</v>
      </c>
      <c r="B42" s="244">
        <f>VINMAX*((ROW()-10)/104)</f>
        <v>9.230769231</v>
      </c>
      <c r="C42" s="222">
        <f t="shared" si="1"/>
        <v>0</v>
      </c>
      <c r="D42" s="224">
        <f>B2</f>
        <v>49.6</v>
      </c>
      <c r="E42" s="43">
        <f t="shared" si="2"/>
        <v>2.388148148</v>
      </c>
      <c r="F42" s="222">
        <f>I_Cout_ss+C42</f>
        <v>0.1684210526</v>
      </c>
      <c r="G42" s="222">
        <f t="shared" si="3"/>
        <v>0.1684210526</v>
      </c>
      <c r="H42" s="222">
        <f t="shared" si="4"/>
        <v>0.1684210526</v>
      </c>
      <c r="I42" s="221">
        <f>(COUTMAX/1000000)*(B42-B41)/H42</f>
        <v>0.002397836538</v>
      </c>
      <c r="J42" s="221">
        <f t="shared" si="9"/>
        <v>0.07673076923</v>
      </c>
      <c r="K42" s="243">
        <f t="shared" si="5"/>
        <v>76.73076923</v>
      </c>
      <c r="L42" s="223">
        <f t="shared" si="6"/>
        <v>1</v>
      </c>
      <c r="M42" s="67">
        <f>1/COUTMAX*(E42/2-C42)*1000</f>
        <v>0.8529100529</v>
      </c>
      <c r="N42" s="241">
        <f t="shared" si="7"/>
        <v>0.008387573964</v>
      </c>
      <c r="O42" s="67">
        <f t="shared" si="8"/>
        <v>3.497975709</v>
      </c>
      <c r="P42" s="67">
        <f>(A42-B42)*(I_Cout_ss*$Q$2+C42)</f>
        <v>4.809716599</v>
      </c>
      <c r="Q42" s="67">
        <f>(A42-B42)*(I_Cout_ss*$R$2+C42)</f>
        <v>2.186234818</v>
      </c>
      <c r="R42" s="67"/>
      <c r="S42" s="67"/>
      <c r="T42" s="67"/>
      <c r="U42" s="67"/>
      <c r="V42" s="67"/>
      <c r="W42" s="67"/>
      <c r="X42" s="67"/>
      <c r="Y42" s="67"/>
      <c r="Z42" s="67"/>
      <c r="AA42" s="67"/>
      <c r="AB42" s="67"/>
      <c r="AC42" s="67"/>
    </row>
    <row r="43" ht="12.0" customHeight="1">
      <c r="A43" s="67">
        <f>VINMAX</f>
        <v>30</v>
      </c>
      <c r="B43" s="244">
        <f>VINMAX*((ROW()-10)/104)</f>
        <v>9.519230769</v>
      </c>
      <c r="C43" s="222">
        <f t="shared" si="1"/>
        <v>0</v>
      </c>
      <c r="D43" s="224">
        <f>B2</f>
        <v>49.6</v>
      </c>
      <c r="E43" s="43">
        <f t="shared" si="2"/>
        <v>2.421784038</v>
      </c>
      <c r="F43" s="222">
        <f>I_Cout_ss+C43</f>
        <v>0.1684210526</v>
      </c>
      <c r="G43" s="222">
        <f t="shared" si="3"/>
        <v>0.1684210526</v>
      </c>
      <c r="H43" s="222">
        <f t="shared" si="4"/>
        <v>0.1684210526</v>
      </c>
      <c r="I43" s="221">
        <f>(COUTMAX/1000000)*(B43-B42)/H43</f>
        <v>0.002397836538</v>
      </c>
      <c r="J43" s="221">
        <f t="shared" si="9"/>
        <v>0.07912860577</v>
      </c>
      <c r="K43" s="243">
        <f t="shared" si="5"/>
        <v>79.12860577</v>
      </c>
      <c r="L43" s="223">
        <f t="shared" si="6"/>
        <v>1</v>
      </c>
      <c r="M43" s="67">
        <f>1/COUTMAX*(E43/2-C43)*1000</f>
        <v>0.8649228706</v>
      </c>
      <c r="N43" s="241">
        <f t="shared" si="7"/>
        <v>0.008271079882</v>
      </c>
      <c r="O43" s="67">
        <f t="shared" si="8"/>
        <v>3.449392713</v>
      </c>
      <c r="P43" s="67">
        <f>(A43-B43)*(I_Cout_ss*$Q$2+C43)</f>
        <v>4.74291498</v>
      </c>
      <c r="Q43" s="67">
        <f>(A43-B43)*(I_Cout_ss*$R$2+C43)</f>
        <v>2.155870445</v>
      </c>
      <c r="R43" s="67"/>
      <c r="S43" s="67"/>
      <c r="T43" s="67"/>
      <c r="U43" s="67"/>
      <c r="V43" s="67"/>
      <c r="W43" s="67"/>
      <c r="X43" s="67"/>
      <c r="Y43" s="67"/>
      <c r="Z43" s="67"/>
      <c r="AA43" s="67"/>
      <c r="AB43" s="67"/>
      <c r="AC43" s="67"/>
    </row>
    <row r="44" ht="12.0" customHeight="1">
      <c r="A44" s="67">
        <f>VINMAX</f>
        <v>30</v>
      </c>
      <c r="B44" s="244">
        <f>VINMAX*((ROW()-10)/104)</f>
        <v>9.807692308</v>
      </c>
      <c r="C44" s="222">
        <f t="shared" si="1"/>
        <v>0</v>
      </c>
      <c r="D44" s="224">
        <f>B2</f>
        <v>49.6</v>
      </c>
      <c r="E44" s="43">
        <f t="shared" si="2"/>
        <v>2.456380952</v>
      </c>
      <c r="F44" s="222">
        <f>I_Cout_ss+C44</f>
        <v>0.1684210526</v>
      </c>
      <c r="G44" s="222">
        <f t="shared" si="3"/>
        <v>0.1684210526</v>
      </c>
      <c r="H44" s="222">
        <f t="shared" si="4"/>
        <v>0.1684210526</v>
      </c>
      <c r="I44" s="221">
        <f>(COUTMAX/1000000)*(B44-B43)/H44</f>
        <v>0.002397836538</v>
      </c>
      <c r="J44" s="221">
        <f t="shared" si="9"/>
        <v>0.08152644231</v>
      </c>
      <c r="K44" s="243">
        <f t="shared" si="5"/>
        <v>81.52644231</v>
      </c>
      <c r="L44" s="223">
        <f t="shared" si="6"/>
        <v>1</v>
      </c>
      <c r="M44" s="67">
        <f>1/COUTMAX*(E44/2-C44)*1000</f>
        <v>0.8772789116</v>
      </c>
      <c r="N44" s="241">
        <f t="shared" si="7"/>
        <v>0.008154585799</v>
      </c>
      <c r="O44" s="67">
        <f t="shared" si="8"/>
        <v>3.400809717</v>
      </c>
      <c r="P44" s="67">
        <f>(A44-B44)*(I_Cout_ss*$Q$2+C44)</f>
        <v>4.67611336</v>
      </c>
      <c r="Q44" s="67">
        <f>(A44-B44)*(I_Cout_ss*$R$2+C44)</f>
        <v>2.125506073</v>
      </c>
      <c r="R44" s="67"/>
      <c r="S44" s="67"/>
      <c r="T44" s="67"/>
      <c r="U44" s="67"/>
      <c r="V44" s="67"/>
      <c r="W44" s="67"/>
      <c r="X44" s="67"/>
      <c r="Y44" s="67"/>
      <c r="Z44" s="67"/>
      <c r="AA44" s="67"/>
      <c r="AB44" s="67"/>
      <c r="AC44" s="67"/>
    </row>
    <row r="45" ht="12.0" customHeight="1">
      <c r="A45" s="67">
        <f>VINMAX</f>
        <v>30</v>
      </c>
      <c r="B45" s="244">
        <f>VINMAX*((ROW()-10)/104)</f>
        <v>10.09615385</v>
      </c>
      <c r="C45" s="222">
        <f t="shared" si="1"/>
        <v>0</v>
      </c>
      <c r="D45" s="224">
        <f>B2</f>
        <v>49.6</v>
      </c>
      <c r="E45" s="43">
        <f t="shared" si="2"/>
        <v>2.491980676</v>
      </c>
      <c r="F45" s="222">
        <f>I_Cout_ss+C45</f>
        <v>0.1684210526</v>
      </c>
      <c r="G45" s="222">
        <f t="shared" si="3"/>
        <v>0.1684210526</v>
      </c>
      <c r="H45" s="222">
        <f t="shared" si="4"/>
        <v>0.1684210526</v>
      </c>
      <c r="I45" s="221">
        <f>(COUTMAX/1000000)*(B45-B44)/H45</f>
        <v>0.002397836538</v>
      </c>
      <c r="J45" s="221">
        <f t="shared" si="9"/>
        <v>0.08392427885</v>
      </c>
      <c r="K45" s="243">
        <f t="shared" si="5"/>
        <v>83.92427885</v>
      </c>
      <c r="L45" s="223">
        <f t="shared" si="6"/>
        <v>1</v>
      </c>
      <c r="M45" s="67">
        <f>1/COUTMAX*(E45/2-C45)*1000</f>
        <v>0.8899930987</v>
      </c>
      <c r="N45" s="241">
        <f t="shared" si="7"/>
        <v>0.008038091716</v>
      </c>
      <c r="O45" s="67">
        <f t="shared" si="8"/>
        <v>3.352226721</v>
      </c>
      <c r="P45" s="67">
        <f>(A45-B45)*(I_Cout_ss*$Q$2+C45)</f>
        <v>4.609311741</v>
      </c>
      <c r="Q45" s="67">
        <f>(A45-B45)*(I_Cout_ss*$R$2+C45)</f>
        <v>2.0951417</v>
      </c>
      <c r="R45" s="67"/>
      <c r="S45" s="67"/>
      <c r="T45" s="67"/>
      <c r="U45" s="67"/>
      <c r="V45" s="67"/>
      <c r="W45" s="67"/>
      <c r="X45" s="67"/>
      <c r="Y45" s="67"/>
      <c r="Z45" s="67"/>
      <c r="AA45" s="67"/>
      <c r="AB45" s="67"/>
      <c r="AC45" s="67"/>
    </row>
    <row r="46" ht="12.0" customHeight="1">
      <c r="A46" s="67">
        <f>VINMAX</f>
        <v>30</v>
      </c>
      <c r="B46" s="244">
        <f>VINMAX*((ROW()-10)/104)</f>
        <v>10.38461538</v>
      </c>
      <c r="C46" s="222">
        <f t="shared" si="1"/>
        <v>0</v>
      </c>
      <c r="D46" s="224">
        <f>B2</f>
        <v>49.6</v>
      </c>
      <c r="E46" s="43">
        <f t="shared" si="2"/>
        <v>2.528627451</v>
      </c>
      <c r="F46" s="222">
        <f>I_Cout_ss+C46</f>
        <v>0.1684210526</v>
      </c>
      <c r="G46" s="222">
        <f t="shared" si="3"/>
        <v>0.1684210526</v>
      </c>
      <c r="H46" s="222">
        <f t="shared" si="4"/>
        <v>0.1684210526</v>
      </c>
      <c r="I46" s="221">
        <f>(COUTMAX/1000000)*(B46-B45)/H46</f>
        <v>0.002397836538</v>
      </c>
      <c r="J46" s="221">
        <f t="shared" si="9"/>
        <v>0.08632211538</v>
      </c>
      <c r="K46" s="243">
        <f t="shared" si="5"/>
        <v>86.32211538</v>
      </c>
      <c r="L46" s="223">
        <f t="shared" si="6"/>
        <v>1</v>
      </c>
      <c r="M46" s="67">
        <f>1/COUTMAX*(E46/2-C46)*1000</f>
        <v>0.9030812325</v>
      </c>
      <c r="N46" s="241">
        <f t="shared" si="7"/>
        <v>0.007921597633</v>
      </c>
      <c r="O46" s="67">
        <f t="shared" si="8"/>
        <v>3.303643725</v>
      </c>
      <c r="P46" s="67">
        <f>(A46-B46)*(I_Cout_ss*$Q$2+C46)</f>
        <v>4.542510121</v>
      </c>
      <c r="Q46" s="67">
        <f>(A46-B46)*(I_Cout_ss*$R$2+C46)</f>
        <v>2.064777328</v>
      </c>
      <c r="R46" s="67"/>
      <c r="S46" s="67"/>
      <c r="T46" s="67"/>
      <c r="U46" s="67"/>
      <c r="V46" s="67"/>
      <c r="W46" s="67"/>
      <c r="X46" s="67"/>
      <c r="Y46" s="67"/>
      <c r="Z46" s="67"/>
      <c r="AA46" s="67"/>
      <c r="AB46" s="67"/>
      <c r="AC46" s="67"/>
    </row>
    <row r="47" ht="12.0" customHeight="1">
      <c r="A47" s="67">
        <f>VINMAX</f>
        <v>30</v>
      </c>
      <c r="B47" s="244">
        <f>VINMAX*((ROW()-10)/104)</f>
        <v>10.67307692</v>
      </c>
      <c r="C47" s="222">
        <f t="shared" si="1"/>
        <v>0</v>
      </c>
      <c r="D47" s="224">
        <f>B2</f>
        <v>49.6</v>
      </c>
      <c r="E47" s="43">
        <f t="shared" si="2"/>
        <v>2.566368159</v>
      </c>
      <c r="F47" s="222">
        <f>I_Cout_ss+C47</f>
        <v>0.1684210526</v>
      </c>
      <c r="G47" s="222">
        <f t="shared" si="3"/>
        <v>0.1684210526</v>
      </c>
      <c r="H47" s="222">
        <f t="shared" si="4"/>
        <v>0.1684210526</v>
      </c>
      <c r="I47" s="221">
        <f>(COUTMAX/1000000)*(B47-B46)/H47</f>
        <v>0.002397836538</v>
      </c>
      <c r="J47" s="221">
        <f t="shared" si="9"/>
        <v>0.08871995192</v>
      </c>
      <c r="K47" s="243">
        <f t="shared" si="5"/>
        <v>88.71995192</v>
      </c>
      <c r="L47" s="223">
        <f t="shared" si="6"/>
        <v>1</v>
      </c>
      <c r="M47" s="67">
        <f>1/COUTMAX*(E47/2-C47)*1000</f>
        <v>0.9165600569</v>
      </c>
      <c r="N47" s="241">
        <f t="shared" si="7"/>
        <v>0.00780510355</v>
      </c>
      <c r="O47" s="67">
        <f t="shared" si="8"/>
        <v>3.255060729</v>
      </c>
      <c r="P47" s="67">
        <f>(A47-B47)*(I_Cout_ss*$Q$2+C47)</f>
        <v>4.475708502</v>
      </c>
      <c r="Q47" s="67">
        <f>(A47-B47)*(I_Cout_ss*$R$2+C47)</f>
        <v>2.034412955</v>
      </c>
      <c r="R47" s="67"/>
      <c r="S47" s="67"/>
      <c r="T47" s="67"/>
      <c r="U47" s="67"/>
      <c r="V47" s="67"/>
      <c r="W47" s="67"/>
      <c r="X47" s="67"/>
      <c r="Y47" s="67"/>
      <c r="Z47" s="67"/>
      <c r="AA47" s="67"/>
      <c r="AB47" s="67"/>
      <c r="AC47" s="67"/>
    </row>
    <row r="48" ht="12.0" customHeight="1">
      <c r="A48" s="67">
        <f>VINMAX</f>
        <v>30</v>
      </c>
      <c r="B48" s="244">
        <f>VINMAX*((ROW()-10)/104)</f>
        <v>10.96153846</v>
      </c>
      <c r="C48" s="222">
        <f t="shared" si="1"/>
        <v>0</v>
      </c>
      <c r="D48" s="224">
        <f>B2</f>
        <v>49.6</v>
      </c>
      <c r="E48" s="43">
        <f t="shared" si="2"/>
        <v>2.605252525</v>
      </c>
      <c r="F48" s="222">
        <f>I_Cout_ss+C48</f>
        <v>0.1684210526</v>
      </c>
      <c r="G48" s="222">
        <f t="shared" si="3"/>
        <v>0.1684210526</v>
      </c>
      <c r="H48" s="222">
        <f t="shared" si="4"/>
        <v>0.1684210526</v>
      </c>
      <c r="I48" s="221">
        <f>(COUTMAX/1000000)*(B48-B47)/H48</f>
        <v>0.002397836538</v>
      </c>
      <c r="J48" s="221">
        <f t="shared" si="9"/>
        <v>0.09111778846</v>
      </c>
      <c r="K48" s="243">
        <f t="shared" si="5"/>
        <v>91.11778846</v>
      </c>
      <c r="L48" s="223">
        <f t="shared" si="6"/>
        <v>1</v>
      </c>
      <c r="M48" s="67">
        <f>1/COUTMAX*(E48/2-C48)*1000</f>
        <v>0.9304473304</v>
      </c>
      <c r="N48" s="241">
        <f t="shared" si="7"/>
        <v>0.007688609467</v>
      </c>
      <c r="O48" s="67">
        <f t="shared" si="8"/>
        <v>3.206477733</v>
      </c>
      <c r="P48" s="67">
        <f>(A48-B48)*(I_Cout_ss*$Q$2+C48)</f>
        <v>4.408906883</v>
      </c>
      <c r="Q48" s="67">
        <f>(A48-B48)*(I_Cout_ss*$R$2+C48)</f>
        <v>2.004048583</v>
      </c>
      <c r="R48" s="67"/>
      <c r="S48" s="67"/>
      <c r="T48" s="67"/>
      <c r="U48" s="67"/>
      <c r="V48" s="67"/>
      <c r="W48" s="67"/>
      <c r="X48" s="67"/>
      <c r="Y48" s="67"/>
      <c r="Z48" s="67"/>
      <c r="AA48" s="67"/>
      <c r="AB48" s="67"/>
      <c r="AC48" s="67"/>
    </row>
    <row r="49" ht="12.0" customHeight="1">
      <c r="A49" s="67">
        <f>VINMAX</f>
        <v>30</v>
      </c>
      <c r="B49" s="244">
        <f>VINMAX*((ROW()-10)/104)</f>
        <v>11.25</v>
      </c>
      <c r="C49" s="222">
        <f t="shared" si="1"/>
        <v>0</v>
      </c>
      <c r="D49" s="224">
        <f>B2</f>
        <v>49.6</v>
      </c>
      <c r="E49" s="43">
        <f t="shared" si="2"/>
        <v>2.645333333</v>
      </c>
      <c r="F49" s="222">
        <f>I_Cout_ss+C49</f>
        <v>0.1684210526</v>
      </c>
      <c r="G49" s="222">
        <f t="shared" si="3"/>
        <v>0.1684210526</v>
      </c>
      <c r="H49" s="222">
        <f t="shared" si="4"/>
        <v>0.1684210526</v>
      </c>
      <c r="I49" s="221">
        <f>(COUTMAX/1000000)*(B49-B48)/H49</f>
        <v>0.002397836538</v>
      </c>
      <c r="J49" s="221">
        <f t="shared" si="9"/>
        <v>0.093515625</v>
      </c>
      <c r="K49" s="243">
        <f t="shared" si="5"/>
        <v>93.515625</v>
      </c>
      <c r="L49" s="223">
        <f t="shared" si="6"/>
        <v>1</v>
      </c>
      <c r="M49" s="67">
        <f>1/COUTMAX*(E49/2-C49)*1000</f>
        <v>0.9447619048</v>
      </c>
      <c r="N49" s="241">
        <f t="shared" si="7"/>
        <v>0.007572115385</v>
      </c>
      <c r="O49" s="67">
        <f t="shared" si="8"/>
        <v>3.157894737</v>
      </c>
      <c r="P49" s="67">
        <f>(A49-B49)*(I_Cout_ss*$Q$2+C49)</f>
        <v>4.342105263</v>
      </c>
      <c r="Q49" s="67">
        <f>(A49-B49)*(I_Cout_ss*$R$2+C49)</f>
        <v>1.973684211</v>
      </c>
      <c r="R49" s="67"/>
      <c r="S49" s="67"/>
      <c r="T49" s="67"/>
      <c r="U49" s="67"/>
      <c r="V49" s="67"/>
      <c r="W49" s="67"/>
      <c r="X49" s="67"/>
      <c r="Y49" s="67"/>
      <c r="Z49" s="67"/>
      <c r="AA49" s="67"/>
      <c r="AB49" s="67"/>
      <c r="AC49" s="67"/>
    </row>
    <row r="50" ht="12.0" customHeight="1">
      <c r="A50" s="67">
        <f>VINMAX</f>
        <v>30</v>
      </c>
      <c r="B50" s="244">
        <f>VINMAX*((ROW()-10)/104)</f>
        <v>11.53846154</v>
      </c>
      <c r="C50" s="222">
        <f t="shared" si="1"/>
        <v>0</v>
      </c>
      <c r="D50" s="224">
        <f>B2</f>
        <v>49.6</v>
      </c>
      <c r="E50" s="43">
        <f t="shared" si="2"/>
        <v>2.686666667</v>
      </c>
      <c r="F50" s="222">
        <f>I_Cout_ss+C50</f>
        <v>0.1684210526</v>
      </c>
      <c r="G50" s="222">
        <f t="shared" si="3"/>
        <v>0.1684210526</v>
      </c>
      <c r="H50" s="222">
        <f t="shared" si="4"/>
        <v>0.1684210526</v>
      </c>
      <c r="I50" s="221">
        <f>(COUTMAX/1000000)*(B50-B49)/H50</f>
        <v>0.002397836538</v>
      </c>
      <c r="J50" s="221">
        <f t="shared" si="9"/>
        <v>0.09591346154</v>
      </c>
      <c r="K50" s="243">
        <f t="shared" si="5"/>
        <v>95.91346154</v>
      </c>
      <c r="L50" s="223">
        <f t="shared" si="6"/>
        <v>1</v>
      </c>
      <c r="M50" s="67">
        <f>1/COUTMAX*(E50/2-C50)*1000</f>
        <v>0.9595238095</v>
      </c>
      <c r="N50" s="241">
        <f t="shared" si="7"/>
        <v>0.007455621302</v>
      </c>
      <c r="O50" s="67">
        <f t="shared" si="8"/>
        <v>3.109311741</v>
      </c>
      <c r="P50" s="67">
        <f>(A50-B50)*(I_Cout_ss*$Q$2+C50)</f>
        <v>4.275303644</v>
      </c>
      <c r="Q50" s="67">
        <f>(A50-B50)*(I_Cout_ss*$R$2+C50)</f>
        <v>1.943319838</v>
      </c>
      <c r="R50" s="67"/>
      <c r="S50" s="67"/>
      <c r="T50" s="67"/>
      <c r="U50" s="67"/>
      <c r="V50" s="67"/>
      <c r="W50" s="67"/>
      <c r="X50" s="67"/>
      <c r="Y50" s="67"/>
      <c r="Z50" s="67"/>
      <c r="AA50" s="67"/>
      <c r="AB50" s="67"/>
      <c r="AC50" s="67"/>
    </row>
    <row r="51" ht="12.0" customHeight="1">
      <c r="A51" s="67">
        <f>VINMAX</f>
        <v>30</v>
      </c>
      <c r="B51" s="244">
        <f>VINMAX*((ROW()-10)/104)</f>
        <v>11.82692308</v>
      </c>
      <c r="C51" s="222">
        <f t="shared" si="1"/>
        <v>0</v>
      </c>
      <c r="D51" s="224">
        <f>B2</f>
        <v>49.6</v>
      </c>
      <c r="E51" s="43">
        <f t="shared" si="2"/>
        <v>2.729312169</v>
      </c>
      <c r="F51" s="222">
        <f>I_Cout_ss+C51</f>
        <v>0.1684210526</v>
      </c>
      <c r="G51" s="222">
        <f t="shared" si="3"/>
        <v>0.1684210526</v>
      </c>
      <c r="H51" s="222">
        <f t="shared" si="4"/>
        <v>0.1684210526</v>
      </c>
      <c r="I51" s="221">
        <f>(COUTMAX/1000000)*(B51-B50)/H51</f>
        <v>0.002397836538</v>
      </c>
      <c r="J51" s="221">
        <f t="shared" si="9"/>
        <v>0.09831129808</v>
      </c>
      <c r="K51" s="243">
        <f t="shared" si="5"/>
        <v>98.31129808</v>
      </c>
      <c r="L51" s="223">
        <f t="shared" si="6"/>
        <v>1</v>
      </c>
      <c r="M51" s="67">
        <f>1/COUTMAX*(E51/2-C51)*1000</f>
        <v>0.9747543462</v>
      </c>
      <c r="N51" s="241">
        <f t="shared" si="7"/>
        <v>0.007339127219</v>
      </c>
      <c r="O51" s="67">
        <f t="shared" si="8"/>
        <v>3.060728745</v>
      </c>
      <c r="P51" s="67">
        <f>(A51-B51)*(I_Cout_ss*$Q$2+C51)</f>
        <v>4.208502024</v>
      </c>
      <c r="Q51" s="67">
        <f>(A51-B51)*(I_Cout_ss*$R$2+C51)</f>
        <v>1.912955466</v>
      </c>
      <c r="R51" s="67"/>
      <c r="S51" s="67"/>
      <c r="T51" s="67"/>
      <c r="U51" s="67"/>
      <c r="V51" s="67"/>
      <c r="W51" s="67"/>
      <c r="X51" s="67"/>
      <c r="Y51" s="67"/>
      <c r="Z51" s="67"/>
      <c r="AA51" s="67"/>
      <c r="AB51" s="67"/>
      <c r="AC51" s="67"/>
    </row>
    <row r="52" ht="12.0" customHeight="1">
      <c r="A52" s="67">
        <f>VINMAX</f>
        <v>30</v>
      </c>
      <c r="B52" s="244">
        <f>VINMAX*((ROW()-10)/104)</f>
        <v>12.11538462</v>
      </c>
      <c r="C52" s="222">
        <f t="shared" si="1"/>
        <v>0</v>
      </c>
      <c r="D52" s="224">
        <f>B2</f>
        <v>49.6</v>
      </c>
      <c r="E52" s="43">
        <f t="shared" si="2"/>
        <v>2.773333333</v>
      </c>
      <c r="F52" s="222">
        <f>I_Cout_ss+C52</f>
        <v>0.1684210526</v>
      </c>
      <c r="G52" s="222">
        <f t="shared" si="3"/>
        <v>0.1684210526</v>
      </c>
      <c r="H52" s="222">
        <f t="shared" si="4"/>
        <v>0.1684210526</v>
      </c>
      <c r="I52" s="221">
        <f>(COUTMAX/1000000)*(B52-B51)/H52</f>
        <v>0.002397836538</v>
      </c>
      <c r="J52" s="221">
        <f t="shared" si="9"/>
        <v>0.1007091346</v>
      </c>
      <c r="K52" s="243">
        <f t="shared" si="5"/>
        <v>100.7091346</v>
      </c>
      <c r="L52" s="223">
        <f t="shared" si="6"/>
        <v>1</v>
      </c>
      <c r="M52" s="67">
        <f>1/COUTMAX*(E52/2-C52)*1000</f>
        <v>0.9904761905</v>
      </c>
      <c r="N52" s="241">
        <f t="shared" si="7"/>
        <v>0.007222633136</v>
      </c>
      <c r="O52" s="67">
        <f t="shared" si="8"/>
        <v>3.012145749</v>
      </c>
      <c r="P52" s="67">
        <f>(A52-B52)*(I_Cout_ss*$Q$2+C52)</f>
        <v>4.141700405</v>
      </c>
      <c r="Q52" s="67">
        <f>(A52-B52)*(I_Cout_ss*$R$2+C52)</f>
        <v>1.882591093</v>
      </c>
      <c r="R52" s="67"/>
      <c r="S52" s="67"/>
      <c r="T52" s="67"/>
      <c r="U52" s="67"/>
      <c r="V52" s="67"/>
      <c r="W52" s="67"/>
      <c r="X52" s="67"/>
      <c r="Y52" s="67"/>
      <c r="Z52" s="67"/>
      <c r="AA52" s="67"/>
      <c r="AB52" s="67"/>
      <c r="AC52" s="67"/>
    </row>
    <row r="53" ht="12.0" customHeight="1">
      <c r="A53" s="67">
        <f>VINMAX</f>
        <v>30</v>
      </c>
      <c r="B53" s="244">
        <f>VINMAX*((ROW()-10)/104)</f>
        <v>12.40384615</v>
      </c>
      <c r="C53" s="222">
        <f t="shared" si="1"/>
        <v>0</v>
      </c>
      <c r="D53" s="224">
        <f>B2</f>
        <v>49.6</v>
      </c>
      <c r="E53" s="43">
        <f t="shared" si="2"/>
        <v>2.818797814</v>
      </c>
      <c r="F53" s="222">
        <f>I_Cout_ss+C53</f>
        <v>0.1684210526</v>
      </c>
      <c r="G53" s="222">
        <f t="shared" si="3"/>
        <v>0.1684210526</v>
      </c>
      <c r="H53" s="222">
        <f t="shared" si="4"/>
        <v>0.1684210526</v>
      </c>
      <c r="I53" s="221">
        <f>(COUTMAX/1000000)*(B53-B52)/H53</f>
        <v>0.002397836538</v>
      </c>
      <c r="J53" s="221">
        <f t="shared" si="9"/>
        <v>0.1031069712</v>
      </c>
      <c r="K53" s="243">
        <f t="shared" si="5"/>
        <v>103.1069712</v>
      </c>
      <c r="L53" s="223">
        <f t="shared" si="6"/>
        <v>1</v>
      </c>
      <c r="M53" s="67">
        <f>1/COUTMAX*(E53/2-C53)*1000</f>
        <v>1.006713505</v>
      </c>
      <c r="N53" s="241">
        <f t="shared" si="7"/>
        <v>0.007106139053</v>
      </c>
      <c r="O53" s="67">
        <f t="shared" si="8"/>
        <v>2.963562753</v>
      </c>
      <c r="P53" s="67">
        <f>(A53-B53)*(I_Cout_ss*$Q$2+C53)</f>
        <v>4.074898785</v>
      </c>
      <c r="Q53" s="67">
        <f>(A53-B53)*(I_Cout_ss*$R$2+C53)</f>
        <v>1.852226721</v>
      </c>
      <c r="R53" s="67"/>
      <c r="S53" s="67"/>
      <c r="T53" s="67"/>
      <c r="U53" s="67"/>
      <c r="V53" s="67"/>
      <c r="W53" s="67"/>
      <c r="X53" s="67"/>
      <c r="Y53" s="67"/>
      <c r="Z53" s="67"/>
      <c r="AA53" s="67"/>
      <c r="AB53" s="67"/>
      <c r="AC53" s="67"/>
    </row>
    <row r="54" ht="12.0" customHeight="1">
      <c r="A54" s="67">
        <f>VINMAX</f>
        <v>30</v>
      </c>
      <c r="B54" s="244">
        <f>VINMAX*((ROW()-10)/104)</f>
        <v>12.69230769</v>
      </c>
      <c r="C54" s="222">
        <f t="shared" si="1"/>
        <v>0</v>
      </c>
      <c r="D54" s="224">
        <f>B2</f>
        <v>49.6</v>
      </c>
      <c r="E54" s="43">
        <f t="shared" si="2"/>
        <v>2.865777778</v>
      </c>
      <c r="F54" s="222">
        <f>I_Cout_ss+C54</f>
        <v>0.1684210526</v>
      </c>
      <c r="G54" s="222">
        <f t="shared" si="3"/>
        <v>0.1684210526</v>
      </c>
      <c r="H54" s="222">
        <f t="shared" si="4"/>
        <v>0.1684210526</v>
      </c>
      <c r="I54" s="221">
        <f>(COUTMAX/1000000)*(B54-B53)/H54</f>
        <v>0.002397836538</v>
      </c>
      <c r="J54" s="221">
        <f t="shared" si="9"/>
        <v>0.1055048077</v>
      </c>
      <c r="K54" s="243">
        <f t="shared" si="5"/>
        <v>105.5048077</v>
      </c>
      <c r="L54" s="223">
        <f t="shared" si="6"/>
        <v>1</v>
      </c>
      <c r="M54" s="67">
        <f>1/COUTMAX*(E54/2-C54)*1000</f>
        <v>1.023492063</v>
      </c>
      <c r="N54" s="241">
        <f t="shared" si="7"/>
        <v>0.00698964497</v>
      </c>
      <c r="O54" s="67">
        <f t="shared" si="8"/>
        <v>2.914979757</v>
      </c>
      <c r="P54" s="67">
        <f>(A54-B54)*(I_Cout_ss*$Q$2+C54)</f>
        <v>4.008097166</v>
      </c>
      <c r="Q54" s="67">
        <f>(A54-B54)*(I_Cout_ss*$R$2+C54)</f>
        <v>1.821862348</v>
      </c>
      <c r="R54" s="67"/>
      <c r="S54" s="67"/>
      <c r="T54" s="67"/>
      <c r="U54" s="67"/>
      <c r="V54" s="67"/>
      <c r="W54" s="67"/>
      <c r="X54" s="67"/>
      <c r="Y54" s="67"/>
      <c r="Z54" s="67"/>
      <c r="AA54" s="67"/>
      <c r="AB54" s="67"/>
      <c r="AC54" s="67"/>
    </row>
    <row r="55" ht="12.0" customHeight="1">
      <c r="A55" s="67">
        <f>VINMAX</f>
        <v>30</v>
      </c>
      <c r="B55" s="244">
        <f>VINMAX*((ROW()-10)/104)</f>
        <v>12.98076923</v>
      </c>
      <c r="C55" s="222">
        <f t="shared" si="1"/>
        <v>0</v>
      </c>
      <c r="D55" s="224">
        <f>B2</f>
        <v>49.6</v>
      </c>
      <c r="E55" s="43">
        <f t="shared" si="2"/>
        <v>2.914350282</v>
      </c>
      <c r="F55" s="222">
        <f>I_Cout_ss+C55</f>
        <v>0.1684210526</v>
      </c>
      <c r="G55" s="222">
        <f t="shared" si="3"/>
        <v>0.1684210526</v>
      </c>
      <c r="H55" s="222">
        <f t="shared" si="4"/>
        <v>0.1684210526</v>
      </c>
      <c r="I55" s="221">
        <f>(COUTMAX/1000000)*(B55-B54)/H55</f>
        <v>0.002397836538</v>
      </c>
      <c r="J55" s="221">
        <f t="shared" si="9"/>
        <v>0.1079026442</v>
      </c>
      <c r="K55" s="243">
        <f t="shared" si="5"/>
        <v>107.9026442</v>
      </c>
      <c r="L55" s="223">
        <f t="shared" si="6"/>
        <v>1</v>
      </c>
      <c r="M55" s="67">
        <f>1/COUTMAX*(E55/2-C55)*1000</f>
        <v>1.040839387</v>
      </c>
      <c r="N55" s="241">
        <f t="shared" si="7"/>
        <v>0.006873150888</v>
      </c>
      <c r="O55" s="67">
        <f t="shared" si="8"/>
        <v>2.866396761</v>
      </c>
      <c r="P55" s="67">
        <f>(A55-B55)*(I_Cout_ss*$Q$2+C55)</f>
        <v>3.941295547</v>
      </c>
      <c r="Q55" s="67">
        <f>(A55-B55)*(I_Cout_ss*$R$2+C55)</f>
        <v>1.791497976</v>
      </c>
      <c r="R55" s="67"/>
      <c r="S55" s="67"/>
      <c r="T55" s="67"/>
      <c r="U55" s="67"/>
      <c r="V55" s="67"/>
      <c r="W55" s="67"/>
      <c r="X55" s="67"/>
      <c r="Y55" s="67"/>
      <c r="Z55" s="67"/>
      <c r="AA55" s="67"/>
      <c r="AB55" s="67"/>
      <c r="AC55" s="67"/>
    </row>
    <row r="56" ht="12.0" customHeight="1">
      <c r="A56" s="67">
        <f>VINMAX</f>
        <v>30</v>
      </c>
      <c r="B56" s="244">
        <f>VINMAX*((ROW()-10)/104)</f>
        <v>13.26923077</v>
      </c>
      <c r="C56" s="222">
        <f t="shared" si="1"/>
        <v>0</v>
      </c>
      <c r="D56" s="224">
        <f>B2</f>
        <v>49.6</v>
      </c>
      <c r="E56" s="43">
        <f t="shared" si="2"/>
        <v>2.964597701</v>
      </c>
      <c r="F56" s="222">
        <f>I_Cout_ss+C56</f>
        <v>0.1684210526</v>
      </c>
      <c r="G56" s="222">
        <f t="shared" si="3"/>
        <v>0.1684210526</v>
      </c>
      <c r="H56" s="222">
        <f t="shared" si="4"/>
        <v>0.1684210526</v>
      </c>
      <c r="I56" s="221">
        <f>(COUTMAX/1000000)*(B56-B55)/H56</f>
        <v>0.002397836538</v>
      </c>
      <c r="J56" s="221">
        <f t="shared" si="9"/>
        <v>0.1103004808</v>
      </c>
      <c r="K56" s="243">
        <f t="shared" si="5"/>
        <v>110.3004808</v>
      </c>
      <c r="L56" s="223">
        <f t="shared" si="6"/>
        <v>1</v>
      </c>
      <c r="M56" s="67">
        <f>1/COUTMAX*(E56/2-C56)*1000</f>
        <v>1.058784893</v>
      </c>
      <c r="N56" s="241">
        <f t="shared" si="7"/>
        <v>0.006756656805</v>
      </c>
      <c r="O56" s="67">
        <f t="shared" si="8"/>
        <v>2.817813765</v>
      </c>
      <c r="P56" s="67">
        <f>(A56-B56)*(I_Cout_ss*$Q$2+C56)</f>
        <v>3.874493927</v>
      </c>
      <c r="Q56" s="67">
        <f>(A56-B56)*(I_Cout_ss*$R$2+C56)</f>
        <v>1.761133603</v>
      </c>
      <c r="R56" s="67"/>
      <c r="S56" s="67"/>
      <c r="T56" s="67"/>
      <c r="U56" s="67"/>
      <c r="V56" s="67"/>
      <c r="W56" s="67"/>
      <c r="X56" s="67"/>
      <c r="Y56" s="67"/>
      <c r="Z56" s="67"/>
      <c r="AA56" s="67"/>
      <c r="AB56" s="67"/>
      <c r="AC56" s="67"/>
    </row>
    <row r="57" ht="12.0" customHeight="1">
      <c r="A57" s="67">
        <f>VINMAX</f>
        <v>30</v>
      </c>
      <c r="B57" s="244">
        <f>VINMAX*((ROW()-10)/104)</f>
        <v>13.55769231</v>
      </c>
      <c r="C57" s="222">
        <f t="shared" si="1"/>
        <v>0</v>
      </c>
      <c r="D57" s="224">
        <f>B2</f>
        <v>49.6</v>
      </c>
      <c r="E57" s="43">
        <f t="shared" si="2"/>
        <v>3.016608187</v>
      </c>
      <c r="F57" s="222">
        <f>I_Cout_ss+C57</f>
        <v>0.1684210526</v>
      </c>
      <c r="G57" s="222">
        <f t="shared" si="3"/>
        <v>0.1684210526</v>
      </c>
      <c r="H57" s="222">
        <f t="shared" si="4"/>
        <v>0.1684210526</v>
      </c>
      <c r="I57" s="221">
        <f>(COUTMAX/1000000)*(B57-B56)/H57</f>
        <v>0.002397836538</v>
      </c>
      <c r="J57" s="221">
        <f t="shared" si="9"/>
        <v>0.1126983173</v>
      </c>
      <c r="K57" s="243">
        <f t="shared" si="5"/>
        <v>112.6983173</v>
      </c>
      <c r="L57" s="223">
        <f t="shared" si="6"/>
        <v>1</v>
      </c>
      <c r="M57" s="67">
        <f>1/COUTMAX*(E57/2-C57)*1000</f>
        <v>1.077360067</v>
      </c>
      <c r="N57" s="241">
        <f t="shared" si="7"/>
        <v>0.006640162722</v>
      </c>
      <c r="O57" s="67">
        <f t="shared" si="8"/>
        <v>2.769230769</v>
      </c>
      <c r="P57" s="67">
        <f>(A57-B57)*(I_Cout_ss*$Q$2+C57)</f>
        <v>3.807692308</v>
      </c>
      <c r="Q57" s="67">
        <f>(A57-B57)*(I_Cout_ss*$R$2+C57)</f>
        <v>1.730769231</v>
      </c>
      <c r="R57" s="67"/>
      <c r="S57" s="67"/>
      <c r="T57" s="67"/>
      <c r="U57" s="67"/>
      <c r="V57" s="67"/>
      <c r="W57" s="67"/>
      <c r="X57" s="67"/>
      <c r="Y57" s="67"/>
      <c r="Z57" s="67"/>
      <c r="AA57" s="67"/>
      <c r="AB57" s="67"/>
      <c r="AC57" s="67"/>
    </row>
    <row r="58" ht="12.0" customHeight="1">
      <c r="A58" s="67">
        <f>VINMAX</f>
        <v>30</v>
      </c>
      <c r="B58" s="244">
        <f>VINMAX*((ROW()-10)/104)</f>
        <v>13.84615385</v>
      </c>
      <c r="C58" s="222">
        <f t="shared" si="1"/>
        <v>0</v>
      </c>
      <c r="D58" s="224">
        <f>B2</f>
        <v>49.6</v>
      </c>
      <c r="E58" s="43">
        <f t="shared" si="2"/>
        <v>3.07047619</v>
      </c>
      <c r="F58" s="222">
        <f>I_Cout_ss+C58</f>
        <v>0.1684210526</v>
      </c>
      <c r="G58" s="222">
        <f t="shared" si="3"/>
        <v>0.1684210526</v>
      </c>
      <c r="H58" s="222">
        <f t="shared" si="4"/>
        <v>0.1684210526</v>
      </c>
      <c r="I58" s="221">
        <f>(COUTMAX/1000000)*(B58-B57)/H58</f>
        <v>0.002397836538</v>
      </c>
      <c r="J58" s="221">
        <f t="shared" si="9"/>
        <v>0.1150961538</v>
      </c>
      <c r="K58" s="243">
        <f t="shared" si="5"/>
        <v>115.0961538</v>
      </c>
      <c r="L58" s="223">
        <f t="shared" si="6"/>
        <v>1</v>
      </c>
      <c r="M58" s="67">
        <f>1/COUTMAX*(E58/2-C58)*1000</f>
        <v>1.096598639</v>
      </c>
      <c r="N58" s="241">
        <f t="shared" si="7"/>
        <v>0.006523668639</v>
      </c>
      <c r="O58" s="67">
        <f t="shared" si="8"/>
        <v>2.720647773</v>
      </c>
      <c r="P58" s="67">
        <f>(A58-B58)*(I_Cout_ss*$Q$2+C58)</f>
        <v>3.740890688</v>
      </c>
      <c r="Q58" s="67">
        <f>(A58-B58)*(I_Cout_ss*$R$2+C58)</f>
        <v>1.700404858</v>
      </c>
      <c r="R58" s="67"/>
      <c r="S58" s="67"/>
      <c r="T58" s="67"/>
      <c r="U58" s="67"/>
      <c r="V58" s="67"/>
      <c r="W58" s="67"/>
      <c r="X58" s="67"/>
      <c r="Y58" s="67"/>
      <c r="Z58" s="67"/>
      <c r="AA58" s="67"/>
      <c r="AB58" s="67"/>
      <c r="AC58" s="67"/>
    </row>
    <row r="59" ht="12.0" customHeight="1">
      <c r="A59" s="67">
        <f>VINMAX</f>
        <v>30</v>
      </c>
      <c r="B59" s="244">
        <f>VINMAX*((ROW()-10)/104)</f>
        <v>14.13461538</v>
      </c>
      <c r="C59" s="222">
        <f t="shared" si="1"/>
        <v>0</v>
      </c>
      <c r="D59" s="224">
        <f>B2</f>
        <v>49.6</v>
      </c>
      <c r="E59" s="43">
        <f t="shared" si="2"/>
        <v>3.12630303</v>
      </c>
      <c r="F59" s="222">
        <f>I_Cout_ss+C59</f>
        <v>0.1684210526</v>
      </c>
      <c r="G59" s="222">
        <f t="shared" si="3"/>
        <v>0.1684210526</v>
      </c>
      <c r="H59" s="222">
        <f t="shared" si="4"/>
        <v>0.1684210526</v>
      </c>
      <c r="I59" s="221">
        <f>(COUTMAX/1000000)*(B59-B58)/H59</f>
        <v>0.002397836538</v>
      </c>
      <c r="J59" s="221">
        <f t="shared" si="9"/>
        <v>0.1174939904</v>
      </c>
      <c r="K59" s="243">
        <f t="shared" si="5"/>
        <v>117.4939904</v>
      </c>
      <c r="L59" s="223">
        <f t="shared" si="6"/>
        <v>1</v>
      </c>
      <c r="M59" s="67">
        <f>1/COUTMAX*(E59/2-C59)*1000</f>
        <v>1.116536797</v>
      </c>
      <c r="N59" s="241">
        <f t="shared" si="7"/>
        <v>0.006407174556</v>
      </c>
      <c r="O59" s="67">
        <f t="shared" si="8"/>
        <v>2.672064777</v>
      </c>
      <c r="P59" s="67">
        <f>(A59-B59)*(I_Cout_ss*$Q$2+C59)</f>
        <v>3.674089069</v>
      </c>
      <c r="Q59" s="67">
        <f>(A59-B59)*(I_Cout_ss*$R$2+C59)</f>
        <v>1.670040486</v>
      </c>
      <c r="R59" s="67"/>
      <c r="S59" s="67"/>
      <c r="T59" s="67"/>
      <c r="U59" s="67"/>
      <c r="V59" s="67"/>
      <c r="W59" s="67"/>
      <c r="X59" s="67"/>
      <c r="Y59" s="67"/>
      <c r="Z59" s="67"/>
      <c r="AA59" s="67"/>
      <c r="AB59" s="67"/>
      <c r="AC59" s="67"/>
    </row>
    <row r="60" ht="12.0" customHeight="1">
      <c r="A60" s="67">
        <f>VINMAX</f>
        <v>30</v>
      </c>
      <c r="B60" s="244">
        <f>VINMAX*((ROW()-10)/104)</f>
        <v>14.42307692</v>
      </c>
      <c r="C60" s="222">
        <f t="shared" si="1"/>
        <v>0</v>
      </c>
      <c r="D60" s="224">
        <f>B2</f>
        <v>49.6</v>
      </c>
      <c r="E60" s="43">
        <f t="shared" si="2"/>
        <v>3.184197531</v>
      </c>
      <c r="F60" s="222">
        <f>I_Cout_ss+C60</f>
        <v>0.1684210526</v>
      </c>
      <c r="G60" s="222">
        <f t="shared" si="3"/>
        <v>0.1684210526</v>
      </c>
      <c r="H60" s="222">
        <f t="shared" si="4"/>
        <v>0.1684210526</v>
      </c>
      <c r="I60" s="221">
        <f>(COUTMAX/1000000)*(B60-B59)/H60</f>
        <v>0.002397836538</v>
      </c>
      <c r="J60" s="221">
        <f t="shared" si="9"/>
        <v>0.1198918269</v>
      </c>
      <c r="K60" s="243">
        <f t="shared" si="5"/>
        <v>119.8918269</v>
      </c>
      <c r="L60" s="223">
        <f t="shared" si="6"/>
        <v>1</v>
      </c>
      <c r="M60" s="67">
        <f>1/COUTMAX*(E60/2-C60)*1000</f>
        <v>1.137213404</v>
      </c>
      <c r="N60" s="241">
        <f t="shared" si="7"/>
        <v>0.006290680473</v>
      </c>
      <c r="O60" s="67">
        <f t="shared" si="8"/>
        <v>2.623481781</v>
      </c>
      <c r="P60" s="67">
        <f>(A60-B60)*(I_Cout_ss*$Q$2+C60)</f>
        <v>3.607287449</v>
      </c>
      <c r="Q60" s="67">
        <f>(A60-B60)*(I_Cout_ss*$R$2+C60)</f>
        <v>1.639676113</v>
      </c>
      <c r="R60" s="67"/>
      <c r="S60" s="67"/>
      <c r="T60" s="67"/>
      <c r="U60" s="67"/>
      <c r="V60" s="67"/>
      <c r="W60" s="67"/>
      <c r="X60" s="67"/>
      <c r="Y60" s="67"/>
      <c r="Z60" s="67"/>
      <c r="AA60" s="67"/>
      <c r="AB60" s="67"/>
      <c r="AC60" s="67"/>
    </row>
    <row r="61" ht="12.0" customHeight="1">
      <c r="A61" s="67">
        <f>VINMAX</f>
        <v>30</v>
      </c>
      <c r="B61" s="244">
        <f>VINMAX*((ROW()-10)/104)</f>
        <v>14.71153846</v>
      </c>
      <c r="C61" s="222">
        <f t="shared" si="1"/>
        <v>0</v>
      </c>
      <c r="D61" s="224">
        <f>B2</f>
        <v>49.6</v>
      </c>
      <c r="E61" s="43">
        <f t="shared" si="2"/>
        <v>3.24427673</v>
      </c>
      <c r="F61" s="222">
        <f>I_Cout_ss+C61</f>
        <v>0.1684210526</v>
      </c>
      <c r="G61" s="222">
        <f t="shared" si="3"/>
        <v>0.1684210526</v>
      </c>
      <c r="H61" s="222">
        <f t="shared" si="4"/>
        <v>0.1684210526</v>
      </c>
      <c r="I61" s="221">
        <f>(COUTMAX/1000000)*(B61-B60)/H61</f>
        <v>0.002397836538</v>
      </c>
      <c r="J61" s="221">
        <f t="shared" si="9"/>
        <v>0.1222896635</v>
      </c>
      <c r="K61" s="243">
        <f t="shared" si="5"/>
        <v>122.2896635</v>
      </c>
      <c r="L61" s="223">
        <f t="shared" si="6"/>
        <v>1</v>
      </c>
      <c r="M61" s="67">
        <f>1/COUTMAX*(E61/2-C61)*1000</f>
        <v>1.158670261</v>
      </c>
      <c r="N61" s="241">
        <f t="shared" si="7"/>
        <v>0.006174186391</v>
      </c>
      <c r="O61" s="67">
        <f t="shared" si="8"/>
        <v>2.574898785</v>
      </c>
      <c r="P61" s="67">
        <f>(A61-B61)*(I_Cout_ss*$Q$2+C61)</f>
        <v>3.54048583</v>
      </c>
      <c r="Q61" s="67">
        <f>(A61-B61)*(I_Cout_ss*$R$2+C61)</f>
        <v>1.609311741</v>
      </c>
      <c r="R61" s="67"/>
      <c r="S61" s="67"/>
      <c r="T61" s="67"/>
      <c r="U61" s="67"/>
      <c r="V61" s="67"/>
      <c r="W61" s="67"/>
      <c r="X61" s="67"/>
      <c r="Y61" s="67"/>
      <c r="Z61" s="67"/>
      <c r="AA61" s="67"/>
      <c r="AB61" s="67"/>
      <c r="AC61" s="67"/>
    </row>
    <row r="62" ht="12.0" customHeight="1">
      <c r="A62" s="67">
        <f>VINMAX</f>
        <v>30</v>
      </c>
      <c r="B62" s="244">
        <f>VINMAX*((ROW()-10)/104)</f>
        <v>15</v>
      </c>
      <c r="C62" s="222">
        <f t="shared" si="1"/>
        <v>0</v>
      </c>
      <c r="D62" s="224">
        <f>B2</f>
        <v>49.6</v>
      </c>
      <c r="E62" s="43">
        <f t="shared" si="2"/>
        <v>3.306666667</v>
      </c>
      <c r="F62" s="222">
        <f>I_Cout_ss+C62</f>
        <v>0.1684210526</v>
      </c>
      <c r="G62" s="222">
        <f t="shared" si="3"/>
        <v>0.1684210526</v>
      </c>
      <c r="H62" s="222">
        <f t="shared" si="4"/>
        <v>0.1684210526</v>
      </c>
      <c r="I62" s="221">
        <f>(COUTMAX/1000000)*(B62-B61)/H62</f>
        <v>0.002397836538</v>
      </c>
      <c r="J62" s="221">
        <f t="shared" si="9"/>
        <v>0.1246875</v>
      </c>
      <c r="K62" s="243">
        <f t="shared" si="5"/>
        <v>124.6875</v>
      </c>
      <c r="L62" s="223">
        <f t="shared" si="6"/>
        <v>1</v>
      </c>
      <c r="M62" s="67">
        <f>1/COUTMAX*(E62/2-C62)*1000</f>
        <v>1.180952381</v>
      </c>
      <c r="N62" s="241">
        <f t="shared" si="7"/>
        <v>0.006057692308</v>
      </c>
      <c r="O62" s="67">
        <f t="shared" si="8"/>
        <v>2.526315789</v>
      </c>
      <c r="P62" s="67">
        <f>(A62-B62)*(I_Cout_ss*$Q$2+C62)</f>
        <v>3.473684211</v>
      </c>
      <c r="Q62" s="67">
        <f>(A62-B62)*(I_Cout_ss*$R$2+C62)</f>
        <v>1.578947368</v>
      </c>
      <c r="R62" s="67"/>
      <c r="S62" s="67"/>
      <c r="T62" s="67"/>
      <c r="U62" s="67"/>
      <c r="V62" s="67"/>
      <c r="W62" s="67"/>
      <c r="X62" s="67"/>
      <c r="Y62" s="67"/>
      <c r="Z62" s="67"/>
      <c r="AA62" s="67"/>
      <c r="AB62" s="67"/>
      <c r="AC62" s="67"/>
    </row>
    <row r="63" ht="12.0" customHeight="1">
      <c r="A63" s="67">
        <f>VINMAX</f>
        <v>30</v>
      </c>
      <c r="B63" s="244">
        <f>VINMAX*((ROW()-10)/104)</f>
        <v>15.28846154</v>
      </c>
      <c r="C63" s="222">
        <f t="shared" si="1"/>
        <v>0</v>
      </c>
      <c r="D63" s="224">
        <f>B2</f>
        <v>49.6</v>
      </c>
      <c r="E63" s="43">
        <f t="shared" si="2"/>
        <v>3.371503268</v>
      </c>
      <c r="F63" s="222">
        <f>I_Cout_ss+C63</f>
        <v>0.1684210526</v>
      </c>
      <c r="G63" s="222">
        <f t="shared" si="3"/>
        <v>0.1684210526</v>
      </c>
      <c r="H63" s="222">
        <f t="shared" si="4"/>
        <v>0.1684210526</v>
      </c>
      <c r="I63" s="221">
        <f>(COUTMAX/1000000)*(B63-B62)/H63</f>
        <v>0.002397836538</v>
      </c>
      <c r="J63" s="221">
        <f t="shared" si="9"/>
        <v>0.1270853365</v>
      </c>
      <c r="K63" s="243">
        <f t="shared" si="5"/>
        <v>127.0853365</v>
      </c>
      <c r="L63" s="223">
        <f t="shared" si="6"/>
        <v>1</v>
      </c>
      <c r="M63" s="67">
        <f>1/COUTMAX*(E63/2-C63)*1000</f>
        <v>1.20410831</v>
      </c>
      <c r="N63" s="241">
        <f t="shared" si="7"/>
        <v>0.005941198225</v>
      </c>
      <c r="O63" s="67">
        <f t="shared" si="8"/>
        <v>2.477732794</v>
      </c>
      <c r="P63" s="67">
        <f>(A63-B63)*(I_Cout_ss*$Q$2+C63)</f>
        <v>3.406882591</v>
      </c>
      <c r="Q63" s="67">
        <f>(A63-B63)*(I_Cout_ss*$R$2+C63)</f>
        <v>1.548582996</v>
      </c>
      <c r="R63" s="67"/>
      <c r="S63" s="67"/>
      <c r="T63" s="67"/>
      <c r="U63" s="67"/>
      <c r="V63" s="67"/>
      <c r="W63" s="67"/>
      <c r="X63" s="67"/>
      <c r="Y63" s="67"/>
      <c r="Z63" s="67"/>
      <c r="AA63" s="67"/>
      <c r="AB63" s="67"/>
      <c r="AC63" s="67"/>
    </row>
    <row r="64" ht="12.0" customHeight="1">
      <c r="A64" s="67">
        <f>VINMAX</f>
        <v>30</v>
      </c>
      <c r="B64" s="244">
        <f>VINMAX*((ROW()-10)/104)</f>
        <v>15.57692308</v>
      </c>
      <c r="C64" s="222">
        <f t="shared" si="1"/>
        <v>0</v>
      </c>
      <c r="D64" s="224">
        <f>B2</f>
        <v>49.6</v>
      </c>
      <c r="E64" s="43">
        <f t="shared" si="2"/>
        <v>3.438933333</v>
      </c>
      <c r="F64" s="222">
        <f>I_Cout_ss+C64</f>
        <v>0.1684210526</v>
      </c>
      <c r="G64" s="222">
        <f t="shared" si="3"/>
        <v>0.1684210526</v>
      </c>
      <c r="H64" s="222">
        <f t="shared" si="4"/>
        <v>0.1684210526</v>
      </c>
      <c r="I64" s="221">
        <f>(COUTMAX/1000000)*(B64-B63)/H64</f>
        <v>0.002397836538</v>
      </c>
      <c r="J64" s="221">
        <f t="shared" si="9"/>
        <v>0.1294831731</v>
      </c>
      <c r="K64" s="243">
        <f t="shared" si="5"/>
        <v>129.4831731</v>
      </c>
      <c r="L64" s="223">
        <f t="shared" si="6"/>
        <v>1</v>
      </c>
      <c r="M64" s="67">
        <f>1/COUTMAX*(E64/2-C64)*1000</f>
        <v>1.228190476</v>
      </c>
      <c r="N64" s="241">
        <f t="shared" si="7"/>
        <v>0.005824704142</v>
      </c>
      <c r="O64" s="67">
        <f t="shared" si="8"/>
        <v>2.429149798</v>
      </c>
      <c r="P64" s="67">
        <f>(A64-B64)*(I_Cout_ss*$Q$2+C64)</f>
        <v>3.340080972</v>
      </c>
      <c r="Q64" s="67">
        <f>(A64-B64)*(I_Cout_ss*$R$2+C64)</f>
        <v>1.518218623</v>
      </c>
      <c r="R64" s="67"/>
      <c r="S64" s="67"/>
      <c r="T64" s="67"/>
      <c r="U64" s="67"/>
      <c r="V64" s="67"/>
      <c r="W64" s="67"/>
      <c r="X64" s="67"/>
      <c r="Y64" s="67"/>
      <c r="Z64" s="67"/>
      <c r="AA64" s="67"/>
      <c r="AB64" s="67"/>
      <c r="AC64" s="67"/>
    </row>
    <row r="65" ht="12.0" customHeight="1">
      <c r="A65" s="67">
        <f>VINMAX</f>
        <v>30</v>
      </c>
      <c r="B65" s="244">
        <f>VINMAX*((ROW()-10)/104)</f>
        <v>15.86538462</v>
      </c>
      <c r="C65" s="222">
        <f t="shared" si="1"/>
        <v>0</v>
      </c>
      <c r="D65" s="224">
        <f>B2</f>
        <v>49.6</v>
      </c>
      <c r="E65" s="43">
        <f t="shared" si="2"/>
        <v>3.509115646</v>
      </c>
      <c r="F65" s="222">
        <f>I_Cout_ss+C65</f>
        <v>0.1684210526</v>
      </c>
      <c r="G65" s="222">
        <f t="shared" si="3"/>
        <v>0.1684210526</v>
      </c>
      <c r="H65" s="222">
        <f t="shared" si="4"/>
        <v>0.1684210526</v>
      </c>
      <c r="I65" s="221">
        <f>(COUTMAX/1000000)*(B65-B64)/H65</f>
        <v>0.002397836538</v>
      </c>
      <c r="J65" s="221">
        <f t="shared" si="9"/>
        <v>0.1318810096</v>
      </c>
      <c r="K65" s="243">
        <f t="shared" si="5"/>
        <v>131.8810096</v>
      </c>
      <c r="L65" s="223">
        <f t="shared" si="6"/>
        <v>1</v>
      </c>
      <c r="M65" s="67">
        <f>1/COUTMAX*(E65/2-C65)*1000</f>
        <v>1.253255588</v>
      </c>
      <c r="N65" s="241">
        <f t="shared" si="7"/>
        <v>0.005708210059</v>
      </c>
      <c r="O65" s="67">
        <f t="shared" si="8"/>
        <v>2.380566802</v>
      </c>
      <c r="P65" s="67">
        <f>(A65-B65)*(I_Cout_ss*$Q$2+C65)</f>
        <v>3.273279352</v>
      </c>
      <c r="Q65" s="67">
        <f>(A65-B65)*(I_Cout_ss*$R$2+C65)</f>
        <v>1.487854251</v>
      </c>
      <c r="R65" s="67"/>
      <c r="S65" s="67"/>
      <c r="T65" s="67"/>
      <c r="U65" s="67"/>
      <c r="V65" s="67"/>
      <c r="W65" s="67"/>
      <c r="X65" s="67"/>
      <c r="Y65" s="67"/>
      <c r="Z65" s="67"/>
      <c r="AA65" s="67"/>
      <c r="AB65" s="67"/>
      <c r="AC65" s="67"/>
    </row>
    <row r="66" ht="12.0" customHeight="1">
      <c r="A66" s="67">
        <f>VINMAX</f>
        <v>30</v>
      </c>
      <c r="B66" s="244">
        <f>VINMAX*((ROW()-10)/104)</f>
        <v>16.15384615</v>
      </c>
      <c r="C66" s="222">
        <f t="shared" si="1"/>
        <v>0</v>
      </c>
      <c r="D66" s="224">
        <f>B2</f>
        <v>49.6</v>
      </c>
      <c r="E66" s="43">
        <f t="shared" si="2"/>
        <v>3.582222222</v>
      </c>
      <c r="F66" s="222">
        <f>I_Cout_ss+C66</f>
        <v>0.1684210526</v>
      </c>
      <c r="G66" s="222">
        <f t="shared" si="3"/>
        <v>0.1684210526</v>
      </c>
      <c r="H66" s="222">
        <f t="shared" si="4"/>
        <v>0.1684210526</v>
      </c>
      <c r="I66" s="221">
        <f>(COUTMAX/1000000)*(B66-B65)/H66</f>
        <v>0.002397836538</v>
      </c>
      <c r="J66" s="221">
        <f t="shared" si="9"/>
        <v>0.1342788462</v>
      </c>
      <c r="K66" s="243">
        <f t="shared" si="5"/>
        <v>134.2788462</v>
      </c>
      <c r="L66" s="223">
        <f t="shared" si="6"/>
        <v>1</v>
      </c>
      <c r="M66" s="67">
        <f>1/COUTMAX*(E66/2-C66)*1000</f>
        <v>1.279365079</v>
      </c>
      <c r="N66" s="241">
        <f t="shared" si="7"/>
        <v>0.005591715976</v>
      </c>
      <c r="O66" s="67">
        <f t="shared" si="8"/>
        <v>2.331983806</v>
      </c>
      <c r="P66" s="67">
        <f>(A66-B66)*(I_Cout_ss*$Q$2+C66)</f>
        <v>3.206477733</v>
      </c>
      <c r="Q66" s="67">
        <f>(A66-B66)*(I_Cout_ss*$R$2+C66)</f>
        <v>1.457489879</v>
      </c>
      <c r="R66" s="67"/>
      <c r="S66" s="67"/>
      <c r="T66" s="67"/>
      <c r="U66" s="67"/>
      <c r="V66" s="67"/>
      <c r="W66" s="67"/>
      <c r="X66" s="67"/>
      <c r="Y66" s="67"/>
      <c r="Z66" s="67"/>
      <c r="AA66" s="67"/>
      <c r="AB66" s="67"/>
      <c r="AC66" s="67"/>
    </row>
    <row r="67" ht="12.0" customHeight="1">
      <c r="A67" s="67">
        <f>VINMAX</f>
        <v>30</v>
      </c>
      <c r="B67" s="244">
        <f>VINMAX*((ROW()-10)/104)</f>
        <v>16.44230769</v>
      </c>
      <c r="C67" s="222">
        <f t="shared" si="1"/>
        <v>0</v>
      </c>
      <c r="D67" s="224">
        <f>B2</f>
        <v>49.6</v>
      </c>
      <c r="E67" s="43">
        <f t="shared" si="2"/>
        <v>3.658439716</v>
      </c>
      <c r="F67" s="222">
        <f>I_Cout_ss+C67</f>
        <v>0.1684210526</v>
      </c>
      <c r="G67" s="222">
        <f t="shared" si="3"/>
        <v>0.1684210526</v>
      </c>
      <c r="H67" s="222">
        <f t="shared" si="4"/>
        <v>0.1684210526</v>
      </c>
      <c r="I67" s="221">
        <f>(COUTMAX/1000000)*(B67-B66)/H67</f>
        <v>0.002397836538</v>
      </c>
      <c r="J67" s="221">
        <f t="shared" si="9"/>
        <v>0.1366766827</v>
      </c>
      <c r="K67" s="243">
        <f t="shared" si="5"/>
        <v>136.6766827</v>
      </c>
      <c r="L67" s="223">
        <f t="shared" si="6"/>
        <v>1</v>
      </c>
      <c r="M67" s="67">
        <f>1/COUTMAX*(E67/2-C67)*1000</f>
        <v>1.306585613</v>
      </c>
      <c r="N67" s="241">
        <f t="shared" si="7"/>
        <v>0.005475221893</v>
      </c>
      <c r="O67" s="67">
        <f t="shared" si="8"/>
        <v>2.28340081</v>
      </c>
      <c r="P67" s="67">
        <f>(A67-B67)*(I_Cout_ss*$Q$2+C67)</f>
        <v>3.139676113</v>
      </c>
      <c r="Q67" s="67">
        <f>(A67-B67)*(I_Cout_ss*$R$2+C67)</f>
        <v>1.427125506</v>
      </c>
      <c r="R67" s="67"/>
      <c r="S67" s="67"/>
      <c r="T67" s="67"/>
      <c r="U67" s="67"/>
      <c r="V67" s="67"/>
      <c r="W67" s="67"/>
      <c r="X67" s="67"/>
      <c r="Y67" s="67"/>
      <c r="Z67" s="67"/>
      <c r="AA67" s="67"/>
      <c r="AB67" s="67"/>
      <c r="AC67" s="67"/>
    </row>
    <row r="68" ht="12.0" customHeight="1">
      <c r="A68" s="67">
        <f>VINMAX</f>
        <v>30</v>
      </c>
      <c r="B68" s="244">
        <f>VINMAX*((ROW()-10)/104)</f>
        <v>16.73076923</v>
      </c>
      <c r="C68" s="222">
        <f t="shared" si="1"/>
        <v>0</v>
      </c>
      <c r="D68" s="224">
        <f>B2</f>
        <v>49.6</v>
      </c>
      <c r="E68" s="43">
        <f t="shared" si="2"/>
        <v>3.737971014</v>
      </c>
      <c r="F68" s="222">
        <f>I_Cout_ss+C68</f>
        <v>0.1684210526</v>
      </c>
      <c r="G68" s="222">
        <f t="shared" si="3"/>
        <v>0.1684210526</v>
      </c>
      <c r="H68" s="222">
        <f t="shared" si="4"/>
        <v>0.1684210526</v>
      </c>
      <c r="I68" s="221">
        <f>(COUTMAX/1000000)*(B68-B67)/H68</f>
        <v>0.002397836538</v>
      </c>
      <c r="J68" s="221">
        <f t="shared" si="9"/>
        <v>0.1390745192</v>
      </c>
      <c r="K68" s="243">
        <f t="shared" si="5"/>
        <v>139.0745192</v>
      </c>
      <c r="L68" s="223">
        <f t="shared" si="6"/>
        <v>1</v>
      </c>
      <c r="M68" s="67">
        <f>1/COUTMAX*(E68/2-C68)*1000</f>
        <v>1.334989648</v>
      </c>
      <c r="N68" s="241">
        <f t="shared" si="7"/>
        <v>0.005358727811</v>
      </c>
      <c r="O68" s="67">
        <f t="shared" si="8"/>
        <v>2.234817814</v>
      </c>
      <c r="P68" s="67">
        <f>(A68-B68)*(I_Cout_ss*$Q$2+C68)</f>
        <v>3.072874494</v>
      </c>
      <c r="Q68" s="67">
        <f>(A68-B68)*(I_Cout_ss*$R$2+C68)</f>
        <v>1.396761134</v>
      </c>
      <c r="R68" s="67"/>
      <c r="S68" s="67"/>
      <c r="T68" s="67"/>
      <c r="U68" s="67"/>
      <c r="V68" s="67"/>
      <c r="W68" s="67"/>
      <c r="X68" s="67"/>
      <c r="Y68" s="67"/>
      <c r="Z68" s="67"/>
      <c r="AA68" s="67"/>
      <c r="AB68" s="67"/>
      <c r="AC68" s="67"/>
    </row>
    <row r="69" ht="12.0" customHeight="1">
      <c r="A69" s="67">
        <f>VINMAX</f>
        <v>30</v>
      </c>
      <c r="B69" s="244">
        <f>VINMAX*((ROW()-10)/104)</f>
        <v>17.01923077</v>
      </c>
      <c r="C69" s="222">
        <f t="shared" si="1"/>
        <v>0</v>
      </c>
      <c r="D69" s="224">
        <f>B2</f>
        <v>49.6</v>
      </c>
      <c r="E69" s="43">
        <f t="shared" si="2"/>
        <v>3.821037037</v>
      </c>
      <c r="F69" s="222">
        <f>I_Cout_ss+C69</f>
        <v>0.1684210526</v>
      </c>
      <c r="G69" s="222">
        <f t="shared" si="3"/>
        <v>0.1684210526</v>
      </c>
      <c r="H69" s="222">
        <f t="shared" si="4"/>
        <v>0.1684210526</v>
      </c>
      <c r="I69" s="221">
        <f>(COUTMAX/1000000)*(B69-B68)/H69</f>
        <v>0.002397836538</v>
      </c>
      <c r="J69" s="221">
        <f t="shared" si="9"/>
        <v>0.1414723558</v>
      </c>
      <c r="K69" s="243">
        <f t="shared" si="5"/>
        <v>141.4723558</v>
      </c>
      <c r="L69" s="223">
        <f t="shared" si="6"/>
        <v>1</v>
      </c>
      <c r="M69" s="67">
        <f>1/COUTMAX*(E69/2-C69)*1000</f>
        <v>1.364656085</v>
      </c>
      <c r="N69" s="241">
        <f t="shared" si="7"/>
        <v>0.005242233728</v>
      </c>
      <c r="O69" s="67">
        <f t="shared" si="8"/>
        <v>2.186234818</v>
      </c>
      <c r="P69" s="67">
        <f>(A69-B69)*(I_Cout_ss*$Q$2+C69)</f>
        <v>3.006072874</v>
      </c>
      <c r="Q69" s="67">
        <f>(A69-B69)*(I_Cout_ss*$R$2+C69)</f>
        <v>1.366396761</v>
      </c>
      <c r="R69" s="67"/>
      <c r="S69" s="67"/>
      <c r="T69" s="67"/>
      <c r="U69" s="67"/>
      <c r="V69" s="67"/>
      <c r="W69" s="67"/>
      <c r="X69" s="67"/>
      <c r="Y69" s="67"/>
      <c r="Z69" s="67"/>
      <c r="AA69" s="67"/>
      <c r="AB69" s="67"/>
      <c r="AC69" s="67"/>
    </row>
    <row r="70" ht="12.0" customHeight="1">
      <c r="A70" s="67">
        <f>VINMAX</f>
        <v>30</v>
      </c>
      <c r="B70" s="244">
        <f>VINMAX*((ROW()-10)/104)</f>
        <v>17.30769231</v>
      </c>
      <c r="C70" s="222">
        <f t="shared" si="1"/>
        <v>0</v>
      </c>
      <c r="D70" s="224">
        <f>B2</f>
        <v>49.6</v>
      </c>
      <c r="E70" s="43">
        <f t="shared" si="2"/>
        <v>3.907878788</v>
      </c>
      <c r="F70" s="222">
        <f>I_Cout_ss+C70</f>
        <v>0.1684210526</v>
      </c>
      <c r="G70" s="222">
        <f t="shared" si="3"/>
        <v>0.1684210526</v>
      </c>
      <c r="H70" s="222">
        <f t="shared" si="4"/>
        <v>0.1684210526</v>
      </c>
      <c r="I70" s="221">
        <f>(COUTMAX/1000000)*(B70-B69)/H70</f>
        <v>0.002397836538</v>
      </c>
      <c r="J70" s="221">
        <f t="shared" si="9"/>
        <v>0.1438701923</v>
      </c>
      <c r="K70" s="243">
        <f t="shared" si="5"/>
        <v>143.8701923</v>
      </c>
      <c r="L70" s="223">
        <f t="shared" si="6"/>
        <v>1</v>
      </c>
      <c r="M70" s="67">
        <f>1/COUTMAX*(E70/2-C70)*1000</f>
        <v>1.395670996</v>
      </c>
      <c r="N70" s="241">
        <f t="shared" si="7"/>
        <v>0.005125739645</v>
      </c>
      <c r="O70" s="67">
        <f t="shared" si="8"/>
        <v>2.137651822</v>
      </c>
      <c r="P70" s="67">
        <f>(A70-B70)*(I_Cout_ss*$Q$2+C70)</f>
        <v>2.939271255</v>
      </c>
      <c r="Q70" s="67">
        <f>(A70-B70)*(I_Cout_ss*$R$2+C70)</f>
        <v>1.336032389</v>
      </c>
      <c r="R70" s="67"/>
      <c r="S70" s="67"/>
      <c r="T70" s="67"/>
      <c r="U70" s="67"/>
      <c r="V70" s="67"/>
      <c r="W70" s="67"/>
      <c r="X70" s="67"/>
      <c r="Y70" s="67"/>
      <c r="Z70" s="67"/>
      <c r="AA70" s="67"/>
      <c r="AB70" s="67"/>
      <c r="AC70" s="67"/>
    </row>
    <row r="71" ht="12.0" customHeight="1">
      <c r="A71" s="67">
        <f>VINMAX</f>
        <v>30</v>
      </c>
      <c r="B71" s="244">
        <f>VINMAX*((ROW()-10)/104)</f>
        <v>17.59615385</v>
      </c>
      <c r="C71" s="222">
        <f t="shared" si="1"/>
        <v>0</v>
      </c>
      <c r="D71" s="224">
        <f>B2</f>
        <v>49.6</v>
      </c>
      <c r="E71" s="43">
        <f t="shared" si="2"/>
        <v>3.99875969</v>
      </c>
      <c r="F71" s="222">
        <f>I_Cout_ss+C71</f>
        <v>0.1684210526</v>
      </c>
      <c r="G71" s="222">
        <f t="shared" si="3"/>
        <v>0.1684210526</v>
      </c>
      <c r="H71" s="222">
        <f t="shared" si="4"/>
        <v>0.1684210526</v>
      </c>
      <c r="I71" s="221">
        <f>(COUTMAX/1000000)*(B71-B70)/H71</f>
        <v>0.002397836538</v>
      </c>
      <c r="J71" s="221">
        <f t="shared" si="9"/>
        <v>0.1462680288</v>
      </c>
      <c r="K71" s="243">
        <f t="shared" si="5"/>
        <v>146.2680288</v>
      </c>
      <c r="L71" s="223">
        <f t="shared" si="6"/>
        <v>1</v>
      </c>
      <c r="M71" s="67">
        <f>1/COUTMAX*(E71/2-C71)*1000</f>
        <v>1.428128461</v>
      </c>
      <c r="N71" s="241">
        <f t="shared" si="7"/>
        <v>0.005009245562</v>
      </c>
      <c r="O71" s="67">
        <f t="shared" si="8"/>
        <v>2.089068826</v>
      </c>
      <c r="P71" s="67">
        <f>(A71-B71)*(I_Cout_ss*$Q$2+C71)</f>
        <v>2.872469636</v>
      </c>
      <c r="Q71" s="67">
        <f>(A71-B71)*(I_Cout_ss*$R$2+C71)</f>
        <v>1.305668016</v>
      </c>
      <c r="R71" s="67"/>
      <c r="S71" s="67"/>
      <c r="T71" s="67"/>
      <c r="U71" s="67"/>
      <c r="V71" s="67"/>
      <c r="W71" s="67"/>
      <c r="X71" s="67"/>
      <c r="Y71" s="67"/>
      <c r="Z71" s="67"/>
      <c r="AA71" s="67"/>
      <c r="AB71" s="67"/>
      <c r="AC71" s="67"/>
    </row>
    <row r="72" ht="12.0" customHeight="1">
      <c r="A72" s="67">
        <f>VINMAX</f>
        <v>30</v>
      </c>
      <c r="B72" s="244">
        <f>VINMAX*((ROW()-10)/104)</f>
        <v>17.88461538</v>
      </c>
      <c r="C72" s="222">
        <f t="shared" si="1"/>
        <v>0</v>
      </c>
      <c r="D72" s="224">
        <f>B2</f>
        <v>49.6</v>
      </c>
      <c r="E72" s="43">
        <f t="shared" si="2"/>
        <v>4.093968254</v>
      </c>
      <c r="F72" s="222">
        <f>I_Cout_ss+C72</f>
        <v>0.1684210526</v>
      </c>
      <c r="G72" s="222">
        <f t="shared" si="3"/>
        <v>0.1684210526</v>
      </c>
      <c r="H72" s="222">
        <f t="shared" si="4"/>
        <v>0.1684210526</v>
      </c>
      <c r="I72" s="221">
        <f>(COUTMAX/1000000)*(B72-B71)/H72</f>
        <v>0.002397836538</v>
      </c>
      <c r="J72" s="221">
        <f t="shared" si="9"/>
        <v>0.1486658654</v>
      </c>
      <c r="K72" s="243">
        <f t="shared" si="5"/>
        <v>148.6658654</v>
      </c>
      <c r="L72" s="223">
        <f t="shared" si="6"/>
        <v>1</v>
      </c>
      <c r="M72" s="67">
        <f>1/COUTMAX*(E72/2-C72)*1000</f>
        <v>1.462131519</v>
      </c>
      <c r="N72" s="241">
        <f t="shared" si="7"/>
        <v>0.004892751479</v>
      </c>
      <c r="O72" s="67">
        <f t="shared" si="8"/>
        <v>2.04048583</v>
      </c>
      <c r="P72" s="67">
        <f>(A72-B72)*(I_Cout_ss*$Q$2+C72)</f>
        <v>2.805668016</v>
      </c>
      <c r="Q72" s="67">
        <f>(A72-B72)*(I_Cout_ss*$R$2+C72)</f>
        <v>1.275303644</v>
      </c>
      <c r="R72" s="67"/>
      <c r="S72" s="67"/>
      <c r="T72" s="67"/>
      <c r="U72" s="67"/>
      <c r="V72" s="67"/>
      <c r="W72" s="67"/>
      <c r="X72" s="67"/>
      <c r="Y72" s="67"/>
      <c r="Z72" s="67"/>
      <c r="AA72" s="67"/>
      <c r="AB72" s="67"/>
      <c r="AC72" s="67"/>
    </row>
    <row r="73" ht="12.0" customHeight="1">
      <c r="A73" s="67">
        <f>VINMAX</f>
        <v>30</v>
      </c>
      <c r="B73" s="244">
        <f>VINMAX*((ROW()-10)/104)</f>
        <v>18.17307692</v>
      </c>
      <c r="C73" s="222">
        <f t="shared" si="1"/>
        <v>0</v>
      </c>
      <c r="D73" s="224">
        <f>B2</f>
        <v>49.6</v>
      </c>
      <c r="E73" s="43">
        <f t="shared" si="2"/>
        <v>4.193821138</v>
      </c>
      <c r="F73" s="222">
        <f>I_Cout_ss+C73</f>
        <v>0.1684210526</v>
      </c>
      <c r="G73" s="222">
        <f t="shared" si="3"/>
        <v>0.1684210526</v>
      </c>
      <c r="H73" s="222">
        <f t="shared" si="4"/>
        <v>0.1684210526</v>
      </c>
      <c r="I73" s="221">
        <f>(COUTMAX/1000000)*(B73-B72)/H73</f>
        <v>0.002397836538</v>
      </c>
      <c r="J73" s="221">
        <f t="shared" si="9"/>
        <v>0.1510637019</v>
      </c>
      <c r="K73" s="243">
        <f t="shared" si="5"/>
        <v>151.0637019</v>
      </c>
      <c r="L73" s="223">
        <f t="shared" si="6"/>
        <v>1</v>
      </c>
      <c r="M73" s="67">
        <f>1/COUTMAX*(E73/2-C73)*1000</f>
        <v>1.497793264</v>
      </c>
      <c r="N73" s="241">
        <f t="shared" si="7"/>
        <v>0.004776257396</v>
      </c>
      <c r="O73" s="67">
        <f t="shared" si="8"/>
        <v>1.991902834</v>
      </c>
      <c r="P73" s="67">
        <f>(A73-B73)*(I_Cout_ss*$Q$2+C73)</f>
        <v>2.738866397</v>
      </c>
      <c r="Q73" s="67">
        <f>(A73-B73)*(I_Cout_ss*$R$2+C73)</f>
        <v>1.244939271</v>
      </c>
      <c r="R73" s="67"/>
      <c r="S73" s="67"/>
      <c r="T73" s="67"/>
      <c r="U73" s="67"/>
      <c r="V73" s="67"/>
      <c r="W73" s="67"/>
      <c r="X73" s="67"/>
      <c r="Y73" s="67"/>
      <c r="Z73" s="67"/>
      <c r="AA73" s="67"/>
      <c r="AB73" s="67"/>
      <c r="AC73" s="67"/>
    </row>
    <row r="74" ht="12.0" customHeight="1">
      <c r="A74" s="67">
        <f>VINMAX</f>
        <v>30</v>
      </c>
      <c r="B74" s="244">
        <f>VINMAX*((ROW()-10)/104)</f>
        <v>18.46153846</v>
      </c>
      <c r="C74" s="222">
        <f t="shared" si="1"/>
        <v>0</v>
      </c>
      <c r="D74" s="224">
        <f>B2</f>
        <v>49.6</v>
      </c>
      <c r="E74" s="43">
        <f t="shared" si="2"/>
        <v>4.298666667</v>
      </c>
      <c r="F74" s="222">
        <f>I_Cout_ss+C74</f>
        <v>0.1684210526</v>
      </c>
      <c r="G74" s="222">
        <f t="shared" si="3"/>
        <v>0.1684210526</v>
      </c>
      <c r="H74" s="222">
        <f t="shared" si="4"/>
        <v>0.1684210526</v>
      </c>
      <c r="I74" s="221">
        <f>(COUTMAX/1000000)*(B74-B73)/H74</f>
        <v>0.002397836538</v>
      </c>
      <c r="J74" s="221">
        <f t="shared" si="9"/>
        <v>0.1534615385</v>
      </c>
      <c r="K74" s="243">
        <f t="shared" si="5"/>
        <v>153.4615385</v>
      </c>
      <c r="L74" s="223">
        <f t="shared" si="6"/>
        <v>1</v>
      </c>
      <c r="M74" s="67">
        <f>1/COUTMAX*(E74/2-C74)*1000</f>
        <v>1.535238095</v>
      </c>
      <c r="N74" s="241">
        <f t="shared" si="7"/>
        <v>0.004659763314</v>
      </c>
      <c r="O74" s="67">
        <f t="shared" si="8"/>
        <v>1.943319838</v>
      </c>
      <c r="P74" s="67">
        <f>(A74-B74)*(I_Cout_ss*$Q$2+C74)</f>
        <v>2.672064777</v>
      </c>
      <c r="Q74" s="67">
        <f>(A74-B74)*(I_Cout_ss*$R$2+C74)</f>
        <v>1.214574899</v>
      </c>
      <c r="R74" s="67"/>
      <c r="S74" s="67"/>
      <c r="T74" s="67"/>
      <c r="U74" s="67"/>
      <c r="V74" s="67"/>
      <c r="W74" s="67"/>
      <c r="X74" s="67"/>
      <c r="Y74" s="67"/>
      <c r="Z74" s="67"/>
      <c r="AA74" s="67"/>
      <c r="AB74" s="67"/>
      <c r="AC74" s="67"/>
    </row>
    <row r="75" ht="12.0" customHeight="1">
      <c r="A75" s="67">
        <f>VINMAX</f>
        <v>30</v>
      </c>
      <c r="B75" s="244">
        <f>VINMAX*((ROW()-10)/104)</f>
        <v>18.75</v>
      </c>
      <c r="C75" s="222">
        <f t="shared" si="1"/>
        <v>0</v>
      </c>
      <c r="D75" s="224">
        <f>B2</f>
        <v>49.6</v>
      </c>
      <c r="E75" s="43">
        <f t="shared" si="2"/>
        <v>4.408888889</v>
      </c>
      <c r="F75" s="222">
        <f>I_Cout_ss+C75</f>
        <v>0.1684210526</v>
      </c>
      <c r="G75" s="222">
        <f t="shared" si="3"/>
        <v>0.1684210526</v>
      </c>
      <c r="H75" s="222">
        <f t="shared" si="4"/>
        <v>0.1684210526</v>
      </c>
      <c r="I75" s="221">
        <f>(COUTMAX/1000000)*(B75-B74)/H75</f>
        <v>0.002397836538</v>
      </c>
      <c r="J75" s="221">
        <f t="shared" si="9"/>
        <v>0.155859375</v>
      </c>
      <c r="K75" s="243">
        <f t="shared" si="5"/>
        <v>155.859375</v>
      </c>
      <c r="L75" s="223">
        <f t="shared" si="6"/>
        <v>1</v>
      </c>
      <c r="M75" s="67">
        <f>1/COUTMAX*(E75/2-C75)*1000</f>
        <v>1.574603175</v>
      </c>
      <c r="N75" s="241">
        <f t="shared" si="7"/>
        <v>0.004543269231</v>
      </c>
      <c r="O75" s="67">
        <f t="shared" si="8"/>
        <v>1.894736842</v>
      </c>
      <c r="P75" s="67">
        <f>(A75-B75)*(I_Cout_ss*$Q$2+C75)</f>
        <v>2.605263158</v>
      </c>
      <c r="Q75" s="67">
        <f>(A75-B75)*(I_Cout_ss*$R$2+C75)</f>
        <v>1.184210526</v>
      </c>
      <c r="R75" s="67"/>
      <c r="S75" s="67"/>
      <c r="T75" s="67"/>
      <c r="U75" s="67"/>
      <c r="V75" s="67"/>
      <c r="W75" s="67"/>
      <c r="X75" s="67"/>
      <c r="Y75" s="67"/>
      <c r="Z75" s="67"/>
      <c r="AA75" s="67"/>
      <c r="AB75" s="67"/>
      <c r="AC75" s="67"/>
    </row>
    <row r="76" ht="12.0" customHeight="1">
      <c r="A76" s="67">
        <f>VINMAX</f>
        <v>30</v>
      </c>
      <c r="B76" s="244">
        <f>VINMAX*((ROW()-10)/104)</f>
        <v>19.03846154</v>
      </c>
      <c r="C76" s="222">
        <f t="shared" si="1"/>
        <v>0</v>
      </c>
      <c r="D76" s="224">
        <f>B2</f>
        <v>49.6</v>
      </c>
      <c r="E76" s="43">
        <f t="shared" si="2"/>
        <v>4.524912281</v>
      </c>
      <c r="F76" s="222">
        <f>I_Cout_ss+C76</f>
        <v>0.1684210526</v>
      </c>
      <c r="G76" s="222">
        <f t="shared" si="3"/>
        <v>0.1684210526</v>
      </c>
      <c r="H76" s="222">
        <f t="shared" si="4"/>
        <v>0.1684210526</v>
      </c>
      <c r="I76" s="221">
        <f>(COUTMAX/1000000)*(B76-B75)/H76</f>
        <v>0.002397836538</v>
      </c>
      <c r="J76" s="221">
        <f t="shared" si="9"/>
        <v>0.1582572115</v>
      </c>
      <c r="K76" s="243">
        <f t="shared" si="5"/>
        <v>158.2572115</v>
      </c>
      <c r="L76" s="223">
        <f t="shared" si="6"/>
        <v>1</v>
      </c>
      <c r="M76" s="67">
        <f>1/COUTMAX*(E76/2-C76)*1000</f>
        <v>1.6160401</v>
      </c>
      <c r="N76" s="241">
        <f t="shared" si="7"/>
        <v>0.004426775148</v>
      </c>
      <c r="O76" s="67">
        <f t="shared" si="8"/>
        <v>1.846153846</v>
      </c>
      <c r="P76" s="67">
        <f>(A76-B76)*(I_Cout_ss*$Q$2+C76)</f>
        <v>2.538461538</v>
      </c>
      <c r="Q76" s="67">
        <f>(A76-B76)*(I_Cout_ss*$R$2+C76)</f>
        <v>1.153846154</v>
      </c>
      <c r="R76" s="67"/>
      <c r="S76" s="67"/>
      <c r="T76" s="67"/>
      <c r="U76" s="67"/>
      <c r="V76" s="67"/>
      <c r="W76" s="67"/>
      <c r="X76" s="67"/>
      <c r="Y76" s="67"/>
      <c r="Z76" s="67"/>
      <c r="AA76" s="67"/>
      <c r="AB76" s="67"/>
      <c r="AC76" s="67"/>
    </row>
    <row r="77" ht="12.0" customHeight="1">
      <c r="A77" s="67">
        <f>VINMAX</f>
        <v>30</v>
      </c>
      <c r="B77" s="244">
        <f>VINMAX*((ROW()-10)/104)</f>
        <v>19.32692308</v>
      </c>
      <c r="C77" s="222">
        <f t="shared" si="1"/>
        <v>0</v>
      </c>
      <c r="D77" s="224">
        <f>B2</f>
        <v>49.6</v>
      </c>
      <c r="E77" s="43">
        <f t="shared" si="2"/>
        <v>4.647207207</v>
      </c>
      <c r="F77" s="222">
        <f>I_Cout_ss+C77</f>
        <v>0.1684210526</v>
      </c>
      <c r="G77" s="222">
        <f t="shared" si="3"/>
        <v>0.1684210526</v>
      </c>
      <c r="H77" s="222">
        <f t="shared" si="4"/>
        <v>0.1684210526</v>
      </c>
      <c r="I77" s="221">
        <f>(COUTMAX/1000000)*(B77-B76)/H77</f>
        <v>0.002397836538</v>
      </c>
      <c r="J77" s="221">
        <f t="shared" si="9"/>
        <v>0.1606550481</v>
      </c>
      <c r="K77" s="243">
        <f t="shared" si="5"/>
        <v>160.6550481</v>
      </c>
      <c r="L77" s="223">
        <f t="shared" si="6"/>
        <v>1</v>
      </c>
      <c r="M77" s="67">
        <f>1/COUTMAX*(E77/2-C77)*1000</f>
        <v>1.65971686</v>
      </c>
      <c r="N77" s="241">
        <f t="shared" si="7"/>
        <v>0.004310281065</v>
      </c>
      <c r="O77" s="67">
        <f t="shared" si="8"/>
        <v>1.79757085</v>
      </c>
      <c r="P77" s="67">
        <f>(A77-B77)*(I_Cout_ss*$Q$2+C77)</f>
        <v>2.471659919</v>
      </c>
      <c r="Q77" s="67">
        <f>(A77-B77)*(I_Cout_ss*$R$2+C77)</f>
        <v>1.123481781</v>
      </c>
      <c r="R77" s="67"/>
      <c r="S77" s="67"/>
      <c r="T77" s="67"/>
      <c r="U77" s="67"/>
      <c r="V77" s="67"/>
      <c r="W77" s="67"/>
      <c r="X77" s="67"/>
      <c r="Y77" s="67"/>
      <c r="Z77" s="67"/>
      <c r="AA77" s="67"/>
      <c r="AB77" s="67"/>
      <c r="AC77" s="67"/>
    </row>
    <row r="78" ht="12.0" customHeight="1">
      <c r="A78" s="67">
        <f>VINMAX</f>
        <v>30</v>
      </c>
      <c r="B78" s="244">
        <f>VINMAX*((ROW()-10)/104)</f>
        <v>19.61538462</v>
      </c>
      <c r="C78" s="222">
        <f t="shared" si="1"/>
        <v>0</v>
      </c>
      <c r="D78" s="224">
        <f>B2</f>
        <v>49.6</v>
      </c>
      <c r="E78" s="43">
        <f t="shared" si="2"/>
        <v>4.776296296</v>
      </c>
      <c r="F78" s="222">
        <f>I_Cout_ss+C78</f>
        <v>0.1684210526</v>
      </c>
      <c r="G78" s="222">
        <f t="shared" si="3"/>
        <v>0.1684210526</v>
      </c>
      <c r="H78" s="222">
        <f t="shared" si="4"/>
        <v>0.1684210526</v>
      </c>
      <c r="I78" s="221">
        <f>(COUTMAX/1000000)*(B78-B77)/H78</f>
        <v>0.002397836538</v>
      </c>
      <c r="J78" s="221">
        <f t="shared" si="9"/>
        <v>0.1630528846</v>
      </c>
      <c r="K78" s="243">
        <f t="shared" si="5"/>
        <v>163.0528846</v>
      </c>
      <c r="L78" s="223">
        <f t="shared" si="6"/>
        <v>1</v>
      </c>
      <c r="M78" s="67">
        <f>1/COUTMAX*(E78/2-C78)*1000</f>
        <v>1.705820106</v>
      </c>
      <c r="N78" s="241">
        <f t="shared" si="7"/>
        <v>0.004193786982</v>
      </c>
      <c r="O78" s="67">
        <f t="shared" si="8"/>
        <v>1.748987854</v>
      </c>
      <c r="P78" s="67">
        <f>(A78-B78)*(I_Cout_ss*$Q$2+C78)</f>
        <v>2.4048583</v>
      </c>
      <c r="Q78" s="67">
        <f>(A78-B78)*(I_Cout_ss*$R$2+C78)</f>
        <v>1.093117409</v>
      </c>
      <c r="R78" s="67"/>
      <c r="S78" s="67"/>
      <c r="T78" s="67"/>
      <c r="U78" s="67"/>
      <c r="V78" s="67"/>
      <c r="W78" s="67"/>
      <c r="X78" s="67"/>
      <c r="Y78" s="67"/>
      <c r="Z78" s="67"/>
      <c r="AA78" s="67"/>
      <c r="AB78" s="67"/>
      <c r="AC78" s="67"/>
    </row>
    <row r="79" ht="12.0" customHeight="1">
      <c r="A79" s="67">
        <f>VINMAX</f>
        <v>30</v>
      </c>
      <c r="B79" s="244">
        <f>VINMAX*((ROW()-10)/104)</f>
        <v>19.90384615</v>
      </c>
      <c r="C79" s="222">
        <f t="shared" si="1"/>
        <v>0</v>
      </c>
      <c r="D79" s="224">
        <f>B2</f>
        <v>49.6</v>
      </c>
      <c r="E79" s="43">
        <f t="shared" si="2"/>
        <v>4.912761905</v>
      </c>
      <c r="F79" s="222">
        <f>I_Cout_ss+C79</f>
        <v>0.1684210526</v>
      </c>
      <c r="G79" s="222">
        <f t="shared" si="3"/>
        <v>0.1684210526</v>
      </c>
      <c r="H79" s="222">
        <f t="shared" si="4"/>
        <v>0.1684210526</v>
      </c>
      <c r="I79" s="221">
        <f>(COUTMAX/1000000)*(B79-B78)/H79</f>
        <v>0.002397836538</v>
      </c>
      <c r="J79" s="221">
        <f t="shared" si="9"/>
        <v>0.1654507212</v>
      </c>
      <c r="K79" s="243">
        <f t="shared" si="5"/>
        <v>165.4507212</v>
      </c>
      <c r="L79" s="223">
        <f t="shared" si="6"/>
        <v>1</v>
      </c>
      <c r="M79" s="67">
        <f>1/COUTMAX*(E79/2-C79)*1000</f>
        <v>1.754557823</v>
      </c>
      <c r="N79" s="241">
        <f t="shared" si="7"/>
        <v>0.004077292899</v>
      </c>
      <c r="O79" s="67">
        <f t="shared" si="8"/>
        <v>1.700404858</v>
      </c>
      <c r="P79" s="67">
        <f>(A79-B79)*(I_Cout_ss*$Q$2+C79)</f>
        <v>2.33805668</v>
      </c>
      <c r="Q79" s="67">
        <f>(A79-B79)*(I_Cout_ss*$R$2+C79)</f>
        <v>1.062753036</v>
      </c>
      <c r="R79" s="67"/>
      <c r="S79" s="67"/>
      <c r="T79" s="67"/>
      <c r="U79" s="67"/>
      <c r="V79" s="67"/>
      <c r="W79" s="67"/>
      <c r="X79" s="67"/>
      <c r="Y79" s="67"/>
      <c r="Z79" s="67"/>
      <c r="AA79" s="67"/>
      <c r="AB79" s="67"/>
      <c r="AC79" s="67"/>
    </row>
    <row r="80" ht="12.0" customHeight="1">
      <c r="A80" s="67">
        <f>VINMAX</f>
        <v>30</v>
      </c>
      <c r="B80" s="244">
        <f>VINMAX*((ROW()-10)/104)</f>
        <v>20.19230769</v>
      </c>
      <c r="C80" s="222">
        <f t="shared" si="1"/>
        <v>0</v>
      </c>
      <c r="D80" s="224">
        <f>B2</f>
        <v>49.6</v>
      </c>
      <c r="E80" s="43">
        <f t="shared" si="2"/>
        <v>5.057254902</v>
      </c>
      <c r="F80" s="222">
        <f>I_Cout_ss+C80</f>
        <v>0.1684210526</v>
      </c>
      <c r="G80" s="222">
        <f t="shared" si="3"/>
        <v>0.1684210526</v>
      </c>
      <c r="H80" s="222">
        <f t="shared" si="4"/>
        <v>0.1684210526</v>
      </c>
      <c r="I80" s="221">
        <f>(COUTMAX/1000000)*(B80-B79)/H80</f>
        <v>0.002397836538</v>
      </c>
      <c r="J80" s="221">
        <f t="shared" si="9"/>
        <v>0.1678485577</v>
      </c>
      <c r="K80" s="243">
        <f t="shared" si="5"/>
        <v>167.8485577</v>
      </c>
      <c r="L80" s="223">
        <f t="shared" si="6"/>
        <v>1</v>
      </c>
      <c r="M80" s="67">
        <f>1/COUTMAX*(E80/2-C80)*1000</f>
        <v>1.806162465</v>
      </c>
      <c r="N80" s="241">
        <f t="shared" si="7"/>
        <v>0.003960798817</v>
      </c>
      <c r="O80" s="67">
        <f t="shared" si="8"/>
        <v>1.651821862</v>
      </c>
      <c r="P80" s="67">
        <f>(A80-B80)*(I_Cout_ss*$Q$2+C80)</f>
        <v>2.271255061</v>
      </c>
      <c r="Q80" s="67">
        <f>(A80-B80)*(I_Cout_ss*$R$2+C80)</f>
        <v>1.032388664</v>
      </c>
      <c r="R80" s="67"/>
      <c r="S80" s="67"/>
      <c r="T80" s="67"/>
      <c r="U80" s="67"/>
      <c r="V80" s="67"/>
      <c r="W80" s="67"/>
      <c r="X80" s="67"/>
      <c r="Y80" s="67"/>
      <c r="Z80" s="67"/>
      <c r="AA80" s="67"/>
      <c r="AB80" s="67"/>
      <c r="AC80" s="67"/>
    </row>
    <row r="81" ht="12.0" customHeight="1">
      <c r="A81" s="67">
        <f>VINMAX</f>
        <v>30</v>
      </c>
      <c r="B81" s="244">
        <f>VINMAX*((ROW()-10)/104)</f>
        <v>20.48076923</v>
      </c>
      <c r="C81" s="222">
        <f t="shared" si="1"/>
        <v>0</v>
      </c>
      <c r="D81" s="224">
        <f>B2</f>
        <v>49.6</v>
      </c>
      <c r="E81" s="43">
        <f t="shared" si="2"/>
        <v>5.210505051</v>
      </c>
      <c r="F81" s="222">
        <f>I_Cout_ss+C81</f>
        <v>0.1684210526</v>
      </c>
      <c r="G81" s="222">
        <f t="shared" si="3"/>
        <v>0.1684210526</v>
      </c>
      <c r="H81" s="222">
        <f t="shared" si="4"/>
        <v>0.1684210526</v>
      </c>
      <c r="I81" s="221">
        <f>(COUTMAX/1000000)*(B81-B80)/H81</f>
        <v>0.002397836538</v>
      </c>
      <c r="J81" s="221">
        <f t="shared" si="9"/>
        <v>0.1702463942</v>
      </c>
      <c r="K81" s="243">
        <f t="shared" si="5"/>
        <v>170.2463942</v>
      </c>
      <c r="L81" s="223">
        <f t="shared" si="6"/>
        <v>1</v>
      </c>
      <c r="M81" s="67">
        <f>1/COUTMAX*(E81/2-C81)*1000</f>
        <v>1.860894661</v>
      </c>
      <c r="N81" s="241">
        <f t="shared" si="7"/>
        <v>0.003844304734</v>
      </c>
      <c r="O81" s="67">
        <f t="shared" si="8"/>
        <v>1.603238866</v>
      </c>
      <c r="P81" s="67">
        <f>(A81-B81)*(I_Cout_ss*$Q$2+C81)</f>
        <v>2.204453441</v>
      </c>
      <c r="Q81" s="67">
        <f>(A81-B81)*(I_Cout_ss*$R$2+C81)</f>
        <v>1.002024291</v>
      </c>
      <c r="R81" s="67"/>
      <c r="S81" s="67"/>
      <c r="T81" s="67"/>
      <c r="U81" s="67"/>
      <c r="V81" s="67"/>
      <c r="W81" s="67"/>
      <c r="X81" s="67"/>
      <c r="Y81" s="67"/>
      <c r="Z81" s="67"/>
      <c r="AA81" s="67"/>
      <c r="AB81" s="67"/>
      <c r="AC81" s="67"/>
    </row>
    <row r="82" ht="12.0" customHeight="1">
      <c r="A82" s="67">
        <f>VINMAX</f>
        <v>30</v>
      </c>
      <c r="B82" s="244">
        <f>VINMAX*((ROW()-10)/104)</f>
        <v>20.76923077</v>
      </c>
      <c r="C82" s="222">
        <f t="shared" si="1"/>
        <v>0</v>
      </c>
      <c r="D82" s="224">
        <f>B2</f>
        <v>49.6</v>
      </c>
      <c r="E82" s="43">
        <f t="shared" si="2"/>
        <v>5.373333333</v>
      </c>
      <c r="F82" s="222">
        <f>I_Cout_ss+C82</f>
        <v>0.1684210526</v>
      </c>
      <c r="G82" s="222">
        <f t="shared" si="3"/>
        <v>0.1684210526</v>
      </c>
      <c r="H82" s="222">
        <f t="shared" si="4"/>
        <v>0.1684210526</v>
      </c>
      <c r="I82" s="221">
        <f>(COUTMAX/1000000)*(B82-B81)/H82</f>
        <v>0.002397836538</v>
      </c>
      <c r="J82" s="221">
        <f t="shared" si="9"/>
        <v>0.1726442308</v>
      </c>
      <c r="K82" s="243">
        <f t="shared" si="5"/>
        <v>172.6442308</v>
      </c>
      <c r="L82" s="223">
        <f t="shared" si="6"/>
        <v>1</v>
      </c>
      <c r="M82" s="67">
        <f>1/COUTMAX*(E82/2-C82)*1000</f>
        <v>1.919047619</v>
      </c>
      <c r="N82" s="241">
        <f t="shared" si="7"/>
        <v>0.003727810651</v>
      </c>
      <c r="O82" s="67">
        <f t="shared" si="8"/>
        <v>1.55465587</v>
      </c>
      <c r="P82" s="67">
        <f>(A82-B82)*(I_Cout_ss*$Q$2+C82)</f>
        <v>2.137651822</v>
      </c>
      <c r="Q82" s="67">
        <f>(A82-B82)*(I_Cout_ss*$R$2+C82)</f>
        <v>0.971659919</v>
      </c>
      <c r="R82" s="67"/>
      <c r="S82" s="67"/>
      <c r="T82" s="67"/>
      <c r="U82" s="67"/>
      <c r="V82" s="67"/>
      <c r="W82" s="67"/>
      <c r="X82" s="67"/>
      <c r="Y82" s="67"/>
      <c r="Z82" s="67"/>
      <c r="AA82" s="67"/>
      <c r="AB82" s="67"/>
      <c r="AC82" s="67"/>
    </row>
    <row r="83" ht="12.0" customHeight="1">
      <c r="A83" s="67">
        <f>VINMAX</f>
        <v>30</v>
      </c>
      <c r="B83" s="244">
        <f>VINMAX*((ROW()-10)/104)</f>
        <v>21.05769231</v>
      </c>
      <c r="C83" s="222">
        <f t="shared" si="1"/>
        <v>0</v>
      </c>
      <c r="D83" s="224">
        <f>B2</f>
        <v>49.6</v>
      </c>
      <c r="E83" s="43">
        <f t="shared" si="2"/>
        <v>5.546666667</v>
      </c>
      <c r="F83" s="222">
        <f>I_Cout_ss+C83</f>
        <v>0.1684210526</v>
      </c>
      <c r="G83" s="222">
        <f t="shared" si="3"/>
        <v>0.1684210526</v>
      </c>
      <c r="H83" s="222">
        <f t="shared" si="4"/>
        <v>0.1684210526</v>
      </c>
      <c r="I83" s="221">
        <f>(COUTMAX/1000000)*(B83-B82)/H83</f>
        <v>0.002397836538</v>
      </c>
      <c r="J83" s="221">
        <f t="shared" si="9"/>
        <v>0.1750420673</v>
      </c>
      <c r="K83" s="243">
        <f t="shared" si="5"/>
        <v>175.0420673</v>
      </c>
      <c r="L83" s="223">
        <f t="shared" si="6"/>
        <v>1</v>
      </c>
      <c r="M83" s="67">
        <f>1/COUTMAX*(E83/2-C83)*1000</f>
        <v>1.980952381</v>
      </c>
      <c r="N83" s="241">
        <f t="shared" si="7"/>
        <v>0.003611316568</v>
      </c>
      <c r="O83" s="67">
        <f t="shared" si="8"/>
        <v>1.506072874</v>
      </c>
      <c r="P83" s="67">
        <f>(A83-B83)*(I_Cout_ss*$Q$2+C83)</f>
        <v>2.070850202</v>
      </c>
      <c r="Q83" s="67">
        <f>(A83-B83)*(I_Cout_ss*$R$2+C83)</f>
        <v>0.9412955466</v>
      </c>
      <c r="R83" s="67"/>
      <c r="S83" s="67"/>
      <c r="T83" s="67"/>
      <c r="U83" s="67"/>
      <c r="V83" s="67"/>
      <c r="W83" s="67"/>
      <c r="X83" s="67"/>
      <c r="Y83" s="67"/>
      <c r="Z83" s="67"/>
      <c r="AA83" s="67"/>
      <c r="AB83" s="67"/>
      <c r="AC83" s="67"/>
    </row>
    <row r="84" ht="12.0" customHeight="1">
      <c r="A84" s="67">
        <f>VINMAX</f>
        <v>30</v>
      </c>
      <c r="B84" s="244">
        <f>VINMAX*((ROW()-10)/104)</f>
        <v>21.34615385</v>
      </c>
      <c r="C84" s="222">
        <f t="shared" si="1"/>
        <v>0</v>
      </c>
      <c r="D84" s="224">
        <f>B2</f>
        <v>49.6</v>
      </c>
      <c r="E84" s="43">
        <f t="shared" si="2"/>
        <v>5.731555556</v>
      </c>
      <c r="F84" s="222">
        <f>I_Cout_ss+C84</f>
        <v>0.1684210526</v>
      </c>
      <c r="G84" s="222">
        <f t="shared" si="3"/>
        <v>0.1684210526</v>
      </c>
      <c r="H84" s="222">
        <f t="shared" si="4"/>
        <v>0.1684210526</v>
      </c>
      <c r="I84" s="221">
        <f>(COUTMAX/1000000)*(B84-B83)/H84</f>
        <v>0.002397836538</v>
      </c>
      <c r="J84" s="221">
        <f t="shared" si="9"/>
        <v>0.1774399038</v>
      </c>
      <c r="K84" s="243">
        <f t="shared" si="5"/>
        <v>177.4399038</v>
      </c>
      <c r="L84" s="223">
        <f t="shared" si="6"/>
        <v>1</v>
      </c>
      <c r="M84" s="67">
        <f>1/COUTMAX*(E84/2-C84)*1000</f>
        <v>2.046984127</v>
      </c>
      <c r="N84" s="241">
        <f t="shared" si="7"/>
        <v>0.003494822485</v>
      </c>
      <c r="O84" s="67">
        <f t="shared" si="8"/>
        <v>1.457489879</v>
      </c>
      <c r="P84" s="67">
        <f>(A84-B84)*(I_Cout_ss*$Q$2+C84)</f>
        <v>2.004048583</v>
      </c>
      <c r="Q84" s="67">
        <f>(A84-B84)*(I_Cout_ss*$R$2+C84)</f>
        <v>0.9109311741</v>
      </c>
      <c r="R84" s="67"/>
      <c r="S84" s="67"/>
      <c r="T84" s="67"/>
      <c r="U84" s="67"/>
      <c r="V84" s="67"/>
      <c r="W84" s="67"/>
      <c r="X84" s="67"/>
      <c r="Y84" s="67"/>
      <c r="Z84" s="67"/>
      <c r="AA84" s="67"/>
      <c r="AB84" s="67"/>
      <c r="AC84" s="67"/>
    </row>
    <row r="85" ht="12.0" customHeight="1">
      <c r="A85" s="67">
        <f>VINMAX</f>
        <v>30</v>
      </c>
      <c r="B85" s="244">
        <f>VINMAX*((ROW()-10)/104)</f>
        <v>21.63461538</v>
      </c>
      <c r="C85" s="222">
        <f t="shared" si="1"/>
        <v>0</v>
      </c>
      <c r="D85" s="224">
        <f>B2</f>
        <v>49.6</v>
      </c>
      <c r="E85" s="43">
        <f t="shared" si="2"/>
        <v>5.929195402</v>
      </c>
      <c r="F85" s="222">
        <f>I_Cout_ss+C85</f>
        <v>0.1684210526</v>
      </c>
      <c r="G85" s="222">
        <f t="shared" si="3"/>
        <v>0.1684210526</v>
      </c>
      <c r="H85" s="222">
        <f t="shared" si="4"/>
        <v>0.1684210526</v>
      </c>
      <c r="I85" s="221">
        <f>(COUTMAX/1000000)*(B85-B84)/H85</f>
        <v>0.002397836538</v>
      </c>
      <c r="J85" s="221">
        <f t="shared" si="9"/>
        <v>0.1798377404</v>
      </c>
      <c r="K85" s="243">
        <f t="shared" si="5"/>
        <v>179.8377404</v>
      </c>
      <c r="L85" s="223">
        <f t="shared" si="6"/>
        <v>1</v>
      </c>
      <c r="M85" s="67">
        <f>1/COUTMAX*(E85/2-C85)*1000</f>
        <v>2.117569787</v>
      </c>
      <c r="N85" s="241">
        <f t="shared" si="7"/>
        <v>0.003378328402</v>
      </c>
      <c r="O85" s="67">
        <f t="shared" si="8"/>
        <v>1.408906883</v>
      </c>
      <c r="P85" s="67">
        <f>(A85-B85)*(I_Cout_ss*$Q$2+C85)</f>
        <v>1.937246964</v>
      </c>
      <c r="Q85" s="67">
        <f>(A85-B85)*(I_Cout_ss*$R$2+C85)</f>
        <v>0.8805668016</v>
      </c>
      <c r="R85" s="67"/>
      <c r="S85" s="67"/>
      <c r="T85" s="67"/>
      <c r="U85" s="67"/>
      <c r="V85" s="67"/>
      <c r="W85" s="67"/>
      <c r="X85" s="67"/>
      <c r="Y85" s="67"/>
      <c r="Z85" s="67"/>
      <c r="AA85" s="67"/>
      <c r="AB85" s="67"/>
      <c r="AC85" s="67"/>
    </row>
    <row r="86" ht="12.0" customHeight="1">
      <c r="A86" s="67">
        <f>VINMAX</f>
        <v>30</v>
      </c>
      <c r="B86" s="244">
        <f>VINMAX*((ROW()-10)/104)</f>
        <v>21.92307692</v>
      </c>
      <c r="C86" s="222">
        <f t="shared" si="1"/>
        <v>0</v>
      </c>
      <c r="D86" s="224">
        <f>B2</f>
        <v>49.6</v>
      </c>
      <c r="E86" s="43">
        <f t="shared" si="2"/>
        <v>6.140952381</v>
      </c>
      <c r="F86" s="222">
        <f>I_Cout_ss+C86</f>
        <v>0.1684210526</v>
      </c>
      <c r="G86" s="222">
        <f t="shared" si="3"/>
        <v>0.1684210526</v>
      </c>
      <c r="H86" s="222">
        <f t="shared" si="4"/>
        <v>0.1684210526</v>
      </c>
      <c r="I86" s="221">
        <f>(COUTMAX/1000000)*(B86-B85)/H86</f>
        <v>0.002397836538</v>
      </c>
      <c r="J86" s="221">
        <f t="shared" si="9"/>
        <v>0.1822355769</v>
      </c>
      <c r="K86" s="243">
        <f t="shared" si="5"/>
        <v>182.2355769</v>
      </c>
      <c r="L86" s="223">
        <f t="shared" si="6"/>
        <v>1</v>
      </c>
      <c r="M86" s="67">
        <f>1/COUTMAX*(E86/2-C86)*1000</f>
        <v>2.193197279</v>
      </c>
      <c r="N86" s="241">
        <f t="shared" si="7"/>
        <v>0.00326183432</v>
      </c>
      <c r="O86" s="67">
        <f t="shared" si="8"/>
        <v>1.360323887</v>
      </c>
      <c r="P86" s="67">
        <f>(A86-B86)*(I_Cout_ss*$Q$2+C86)</f>
        <v>1.870445344</v>
      </c>
      <c r="Q86" s="67">
        <f>(A86-B86)*(I_Cout_ss*$R$2+C86)</f>
        <v>0.8502024291</v>
      </c>
      <c r="R86" s="67"/>
      <c r="S86" s="67"/>
      <c r="T86" s="67"/>
      <c r="U86" s="67"/>
      <c r="V86" s="67"/>
      <c r="W86" s="67"/>
      <c r="X86" s="67"/>
      <c r="Y86" s="67"/>
      <c r="Z86" s="67"/>
      <c r="AA86" s="67"/>
      <c r="AB86" s="67"/>
      <c r="AC86" s="67"/>
    </row>
    <row r="87" ht="12.0" customHeight="1">
      <c r="A87" s="67">
        <f>VINMAX</f>
        <v>30</v>
      </c>
      <c r="B87" s="244">
        <f>VINMAX*((ROW()-10)/104)</f>
        <v>22.21153846</v>
      </c>
      <c r="C87" s="222">
        <f t="shared" si="1"/>
        <v>0</v>
      </c>
      <c r="D87" s="224">
        <f>B2</f>
        <v>49.6</v>
      </c>
      <c r="E87" s="43">
        <f t="shared" si="2"/>
        <v>6.368395062</v>
      </c>
      <c r="F87" s="222">
        <f>I_Cout_ss+C87</f>
        <v>0.1684210526</v>
      </c>
      <c r="G87" s="222">
        <f t="shared" si="3"/>
        <v>0.1684210526</v>
      </c>
      <c r="H87" s="222">
        <f t="shared" si="4"/>
        <v>0.1684210526</v>
      </c>
      <c r="I87" s="221">
        <f>(COUTMAX/1000000)*(B87-B86)/H87</f>
        <v>0.002397836538</v>
      </c>
      <c r="J87" s="221">
        <f t="shared" si="9"/>
        <v>0.1846334135</v>
      </c>
      <c r="K87" s="243">
        <f t="shared" si="5"/>
        <v>184.6334135</v>
      </c>
      <c r="L87" s="223">
        <f t="shared" si="6"/>
        <v>1</v>
      </c>
      <c r="M87" s="67">
        <f>1/COUTMAX*(E87/2-C87)*1000</f>
        <v>2.274426808</v>
      </c>
      <c r="N87" s="241">
        <f t="shared" si="7"/>
        <v>0.003145340237</v>
      </c>
      <c r="O87" s="67">
        <f t="shared" si="8"/>
        <v>1.311740891</v>
      </c>
      <c r="P87" s="67">
        <f>(A87-B87)*(I_Cout_ss*$Q$2+C87)</f>
        <v>1.803643725</v>
      </c>
      <c r="Q87" s="67">
        <f>(A87-B87)*(I_Cout_ss*$R$2+C87)</f>
        <v>0.8198380567</v>
      </c>
      <c r="R87" s="67"/>
      <c r="S87" s="67"/>
      <c r="T87" s="67"/>
      <c r="U87" s="67"/>
      <c r="V87" s="67"/>
      <c r="W87" s="67"/>
      <c r="X87" s="67"/>
      <c r="Y87" s="67"/>
      <c r="Z87" s="67"/>
      <c r="AA87" s="67"/>
      <c r="AB87" s="67"/>
      <c r="AC87" s="67"/>
    </row>
    <row r="88" ht="12.0" customHeight="1">
      <c r="A88" s="67">
        <f>VINMAX</f>
        <v>30</v>
      </c>
      <c r="B88" s="244">
        <f>VINMAX*((ROW()-10)/104)</f>
        <v>22.5</v>
      </c>
      <c r="C88" s="222">
        <f t="shared" si="1"/>
        <v>0</v>
      </c>
      <c r="D88" s="224">
        <f>B2</f>
        <v>49.6</v>
      </c>
      <c r="E88" s="43">
        <f t="shared" si="2"/>
        <v>6.613333333</v>
      </c>
      <c r="F88" s="222">
        <f>I_Cout_ss+C88</f>
        <v>0.1684210526</v>
      </c>
      <c r="G88" s="222">
        <f t="shared" si="3"/>
        <v>0.1684210526</v>
      </c>
      <c r="H88" s="222">
        <f t="shared" si="4"/>
        <v>0.1684210526</v>
      </c>
      <c r="I88" s="221">
        <f>(COUTMAX/1000000)*(B88-B87)/H88</f>
        <v>0.002397836538</v>
      </c>
      <c r="J88" s="221">
        <f t="shared" si="9"/>
        <v>0.18703125</v>
      </c>
      <c r="K88" s="243">
        <f t="shared" si="5"/>
        <v>187.03125</v>
      </c>
      <c r="L88" s="223">
        <f t="shared" si="6"/>
        <v>1</v>
      </c>
      <c r="M88" s="67">
        <f>1/COUTMAX*(E88/2-C88)*1000</f>
        <v>2.361904762</v>
      </c>
      <c r="N88" s="241">
        <f t="shared" si="7"/>
        <v>0.003028846154</v>
      </c>
      <c r="O88" s="67">
        <f t="shared" si="8"/>
        <v>1.263157895</v>
      </c>
      <c r="P88" s="67">
        <f>(A88-B88)*(I_Cout_ss*$Q$2+C88)</f>
        <v>1.736842105</v>
      </c>
      <c r="Q88" s="67">
        <f>(A88-B88)*(I_Cout_ss*$R$2+C88)</f>
        <v>0.7894736842</v>
      </c>
      <c r="R88" s="67"/>
      <c r="S88" s="67"/>
      <c r="T88" s="67"/>
      <c r="U88" s="67"/>
      <c r="V88" s="67"/>
      <c r="W88" s="67"/>
      <c r="X88" s="67"/>
      <c r="Y88" s="67"/>
      <c r="Z88" s="67"/>
      <c r="AA88" s="67"/>
      <c r="AB88" s="67"/>
      <c r="AC88" s="67"/>
    </row>
    <row r="89" ht="12.0" customHeight="1">
      <c r="A89" s="67">
        <f>VINMAX</f>
        <v>30</v>
      </c>
      <c r="B89" s="244">
        <f>VINMAX*((ROW()-10)/104)</f>
        <v>22.78846154</v>
      </c>
      <c r="C89" s="222">
        <f t="shared" si="1"/>
        <v>0</v>
      </c>
      <c r="D89" s="224">
        <f>B2</f>
        <v>49.6</v>
      </c>
      <c r="E89" s="43">
        <f t="shared" si="2"/>
        <v>6.877866667</v>
      </c>
      <c r="F89" s="222">
        <f>I_Cout_ss+C89</f>
        <v>0.1684210526</v>
      </c>
      <c r="G89" s="222">
        <f t="shared" si="3"/>
        <v>0.1684210526</v>
      </c>
      <c r="H89" s="222">
        <f t="shared" si="4"/>
        <v>0.1684210526</v>
      </c>
      <c r="I89" s="221">
        <f>(COUTMAX/1000000)*(B89-B88)/H89</f>
        <v>0.002397836538</v>
      </c>
      <c r="J89" s="221">
        <f t="shared" si="9"/>
        <v>0.1894290865</v>
      </c>
      <c r="K89" s="243">
        <f t="shared" si="5"/>
        <v>189.4290865</v>
      </c>
      <c r="L89" s="223">
        <f t="shared" si="6"/>
        <v>1</v>
      </c>
      <c r="M89" s="67">
        <f>1/COUTMAX*(E89/2-C89)*1000</f>
        <v>2.456380952</v>
      </c>
      <c r="N89" s="241">
        <f t="shared" si="7"/>
        <v>0.002912352071</v>
      </c>
      <c r="O89" s="67">
        <f t="shared" si="8"/>
        <v>1.214574899</v>
      </c>
      <c r="P89" s="67">
        <f>(A89-B89)*(I_Cout_ss*$Q$2+C89)</f>
        <v>1.670040486</v>
      </c>
      <c r="Q89" s="67">
        <f>(A89-B89)*(I_Cout_ss*$R$2+C89)</f>
        <v>0.7591093117</v>
      </c>
      <c r="R89" s="67"/>
      <c r="S89" s="67"/>
      <c r="T89" s="67"/>
      <c r="U89" s="67"/>
      <c r="V89" s="67"/>
      <c r="W89" s="67"/>
      <c r="X89" s="67"/>
      <c r="Y89" s="67"/>
      <c r="Z89" s="67"/>
      <c r="AA89" s="67"/>
      <c r="AB89" s="67"/>
      <c r="AC89" s="67"/>
    </row>
    <row r="90" ht="12.0" customHeight="1">
      <c r="A90" s="67">
        <f>VINMAX</f>
        <v>30</v>
      </c>
      <c r="B90" s="244">
        <f>VINMAX*((ROW()-10)/104)</f>
        <v>23.07692308</v>
      </c>
      <c r="C90" s="222">
        <f t="shared" si="1"/>
        <v>0</v>
      </c>
      <c r="D90" s="224">
        <f>B2</f>
        <v>49.6</v>
      </c>
      <c r="E90" s="43">
        <f t="shared" si="2"/>
        <v>7.164444444</v>
      </c>
      <c r="F90" s="222">
        <f>I_Cout_ss+C90</f>
        <v>0.1684210526</v>
      </c>
      <c r="G90" s="222">
        <f t="shared" si="3"/>
        <v>0.1684210526</v>
      </c>
      <c r="H90" s="222">
        <f t="shared" si="4"/>
        <v>0.1684210526</v>
      </c>
      <c r="I90" s="221">
        <f>(COUTMAX/1000000)*(B90-B89)/H90</f>
        <v>0.002397836538</v>
      </c>
      <c r="J90" s="221">
        <f t="shared" si="9"/>
        <v>0.1918269231</v>
      </c>
      <c r="K90" s="243">
        <f t="shared" si="5"/>
        <v>191.8269231</v>
      </c>
      <c r="L90" s="223">
        <f t="shared" si="6"/>
        <v>1</v>
      </c>
      <c r="M90" s="67">
        <f>1/COUTMAX*(E90/2-C90)*1000</f>
        <v>2.558730159</v>
      </c>
      <c r="N90" s="241">
        <f t="shared" si="7"/>
        <v>0.002795857988</v>
      </c>
      <c r="O90" s="67">
        <f t="shared" si="8"/>
        <v>1.165991903</v>
      </c>
      <c r="P90" s="67">
        <f>(A90-B90)*(I_Cout_ss*$Q$2+C90)</f>
        <v>1.603238866</v>
      </c>
      <c r="Q90" s="67">
        <f>(A90-B90)*(I_Cout_ss*$R$2+C90)</f>
        <v>0.7287449393</v>
      </c>
      <c r="R90" s="67"/>
      <c r="S90" s="67"/>
      <c r="T90" s="67"/>
      <c r="U90" s="67"/>
      <c r="V90" s="67"/>
      <c r="W90" s="67"/>
      <c r="X90" s="67"/>
      <c r="Y90" s="67"/>
      <c r="Z90" s="67"/>
      <c r="AA90" s="67"/>
      <c r="AB90" s="67"/>
      <c r="AC90" s="67"/>
    </row>
    <row r="91" ht="12.0" customHeight="1">
      <c r="A91" s="67">
        <f>VINMAX</f>
        <v>30</v>
      </c>
      <c r="B91" s="244">
        <f>VINMAX*((ROW()-10)/104)</f>
        <v>23.36538462</v>
      </c>
      <c r="C91" s="222">
        <f t="shared" si="1"/>
        <v>0</v>
      </c>
      <c r="D91" s="224">
        <f>B2</f>
        <v>49.6</v>
      </c>
      <c r="E91" s="43">
        <f t="shared" si="2"/>
        <v>7.475942029</v>
      </c>
      <c r="F91" s="222">
        <f>I_Cout_ss+C91</f>
        <v>0.1684210526</v>
      </c>
      <c r="G91" s="222">
        <f t="shared" si="3"/>
        <v>0.1684210526</v>
      </c>
      <c r="H91" s="222">
        <f t="shared" si="4"/>
        <v>0.1684210526</v>
      </c>
      <c r="I91" s="221">
        <f>(COUTMAX/1000000)*(B91-B90)/H91</f>
        <v>0.002397836538</v>
      </c>
      <c r="J91" s="221">
        <f t="shared" si="9"/>
        <v>0.1942247596</v>
      </c>
      <c r="K91" s="243">
        <f t="shared" si="5"/>
        <v>194.2247596</v>
      </c>
      <c r="L91" s="223">
        <f t="shared" si="6"/>
        <v>1</v>
      </c>
      <c r="M91" s="67">
        <f>1/COUTMAX*(E91/2-C91)*1000</f>
        <v>2.669979296</v>
      </c>
      <c r="N91" s="241">
        <f t="shared" si="7"/>
        <v>0.002679363905</v>
      </c>
      <c r="O91" s="67">
        <f t="shared" si="8"/>
        <v>1.117408907</v>
      </c>
      <c r="P91" s="67">
        <f>(A91-B91)*(I_Cout_ss*$Q$2+C91)</f>
        <v>1.536437247</v>
      </c>
      <c r="Q91" s="67">
        <f>(A91-B91)*(I_Cout_ss*$R$2+C91)</f>
        <v>0.6983805668</v>
      </c>
      <c r="R91" s="67"/>
      <c r="S91" s="67"/>
      <c r="T91" s="67"/>
      <c r="U91" s="67"/>
      <c r="V91" s="67"/>
      <c r="W91" s="67"/>
      <c r="X91" s="67"/>
      <c r="Y91" s="67"/>
      <c r="Z91" s="67"/>
      <c r="AA91" s="67"/>
      <c r="AB91" s="67"/>
      <c r="AC91" s="67"/>
    </row>
    <row r="92" ht="12.0" customHeight="1">
      <c r="A92" s="67">
        <f>VINMAX</f>
        <v>30</v>
      </c>
      <c r="B92" s="244">
        <f>VINMAX*((ROW()-10)/104)</f>
        <v>23.65384615</v>
      </c>
      <c r="C92" s="222">
        <f t="shared" si="1"/>
        <v>0</v>
      </c>
      <c r="D92" s="224">
        <f>B2</f>
        <v>49.6</v>
      </c>
      <c r="E92" s="43">
        <f t="shared" si="2"/>
        <v>7.815757576</v>
      </c>
      <c r="F92" s="222">
        <f>I_Cout_ss+C92</f>
        <v>0.1684210526</v>
      </c>
      <c r="G92" s="222">
        <f t="shared" si="3"/>
        <v>0.1684210526</v>
      </c>
      <c r="H92" s="222">
        <f t="shared" si="4"/>
        <v>0.1684210526</v>
      </c>
      <c r="I92" s="221">
        <f>(COUTMAX/1000000)*(B92-B91)/H92</f>
        <v>0.002397836538</v>
      </c>
      <c r="J92" s="221">
        <f t="shared" si="9"/>
        <v>0.1966225962</v>
      </c>
      <c r="K92" s="243">
        <f t="shared" si="5"/>
        <v>196.6225962</v>
      </c>
      <c r="L92" s="223">
        <f t="shared" si="6"/>
        <v>1</v>
      </c>
      <c r="M92" s="67">
        <f>1/COUTMAX*(E92/2-C92)*1000</f>
        <v>2.791341991</v>
      </c>
      <c r="N92" s="241">
        <f t="shared" si="7"/>
        <v>0.002562869822</v>
      </c>
      <c r="O92" s="67">
        <f t="shared" si="8"/>
        <v>1.068825911</v>
      </c>
      <c r="P92" s="67">
        <f>(A92-B92)*(I_Cout_ss*$Q$2+C92)</f>
        <v>1.469635628</v>
      </c>
      <c r="Q92" s="67">
        <f>(A92-B92)*(I_Cout_ss*$R$2+C92)</f>
        <v>0.6680161943</v>
      </c>
      <c r="R92" s="67"/>
      <c r="S92" s="67"/>
      <c r="T92" s="67"/>
      <c r="U92" s="67"/>
      <c r="V92" s="67"/>
      <c r="W92" s="67"/>
      <c r="X92" s="67"/>
      <c r="Y92" s="67"/>
      <c r="Z92" s="67"/>
      <c r="AA92" s="67"/>
      <c r="AB92" s="67"/>
      <c r="AC92" s="67"/>
    </row>
    <row r="93" ht="12.0" customHeight="1">
      <c r="A93" s="67">
        <f>VINMAX</f>
        <v>30</v>
      </c>
      <c r="B93" s="244">
        <f>VINMAX*((ROW()-10)/104)</f>
        <v>23.94230769</v>
      </c>
      <c r="C93" s="222">
        <f t="shared" si="1"/>
        <v>0</v>
      </c>
      <c r="D93" s="224">
        <f>B2</f>
        <v>49.6</v>
      </c>
      <c r="E93" s="43">
        <f t="shared" si="2"/>
        <v>8.187936508</v>
      </c>
      <c r="F93" s="222">
        <f>I_Cout_ss+C93</f>
        <v>0.1684210526</v>
      </c>
      <c r="G93" s="222">
        <f t="shared" si="3"/>
        <v>0.1684210526</v>
      </c>
      <c r="H93" s="222">
        <f t="shared" si="4"/>
        <v>0.1684210526</v>
      </c>
      <c r="I93" s="221">
        <f>(COUTMAX/1000000)*(B93-B92)/H93</f>
        <v>0.002397836538</v>
      </c>
      <c r="J93" s="221">
        <f t="shared" si="9"/>
        <v>0.1990204327</v>
      </c>
      <c r="K93" s="243">
        <f t="shared" si="5"/>
        <v>199.0204327</v>
      </c>
      <c r="L93" s="223">
        <f t="shared" si="6"/>
        <v>1</v>
      </c>
      <c r="M93" s="67">
        <f>1/COUTMAX*(E93/2-C93)*1000</f>
        <v>2.924263039</v>
      </c>
      <c r="N93" s="241">
        <f t="shared" si="7"/>
        <v>0.00244637574</v>
      </c>
      <c r="O93" s="67">
        <f t="shared" si="8"/>
        <v>1.020242915</v>
      </c>
      <c r="P93" s="67">
        <f>(A93-B93)*(I_Cout_ss*$Q$2+C93)</f>
        <v>1.402834008</v>
      </c>
      <c r="Q93" s="67">
        <f>(A93-B93)*(I_Cout_ss*$R$2+C93)</f>
        <v>0.6376518219</v>
      </c>
      <c r="R93" s="67"/>
      <c r="S93" s="67"/>
      <c r="T93" s="67"/>
      <c r="U93" s="67"/>
      <c r="V93" s="67"/>
      <c r="W93" s="67"/>
      <c r="X93" s="67"/>
      <c r="Y93" s="67"/>
      <c r="Z93" s="67"/>
      <c r="AA93" s="67"/>
      <c r="AB93" s="67"/>
      <c r="AC93" s="67"/>
    </row>
    <row r="94" ht="12.0" customHeight="1">
      <c r="A94" s="67">
        <f>VINMAX</f>
        <v>30</v>
      </c>
      <c r="B94" s="244">
        <f>VINMAX*((ROW()-10)/104)</f>
        <v>24.23076923</v>
      </c>
      <c r="C94" s="222">
        <f t="shared" si="1"/>
        <v>0</v>
      </c>
      <c r="D94" s="224">
        <f>B2</f>
        <v>49.6</v>
      </c>
      <c r="E94" s="43">
        <f t="shared" si="2"/>
        <v>8.597333333</v>
      </c>
      <c r="F94" s="222">
        <f>I_Cout_ss+C94</f>
        <v>0.1684210526</v>
      </c>
      <c r="G94" s="222">
        <f t="shared" si="3"/>
        <v>0.1684210526</v>
      </c>
      <c r="H94" s="222">
        <f t="shared" si="4"/>
        <v>0.1684210526</v>
      </c>
      <c r="I94" s="221">
        <f>(COUTMAX/1000000)*(B94-B93)/H94</f>
        <v>0.002397836538</v>
      </c>
      <c r="J94" s="221">
        <f t="shared" si="9"/>
        <v>0.2014182692</v>
      </c>
      <c r="K94" s="243">
        <f t="shared" si="5"/>
        <v>201.4182692</v>
      </c>
      <c r="L94" s="223">
        <f t="shared" si="6"/>
        <v>1</v>
      </c>
      <c r="M94" s="67">
        <f>1/COUTMAX*(E94/2-C94)*1000</f>
        <v>3.07047619</v>
      </c>
      <c r="N94" s="241">
        <f t="shared" si="7"/>
        <v>0.002329881657</v>
      </c>
      <c r="O94" s="67">
        <f t="shared" si="8"/>
        <v>0.971659919</v>
      </c>
      <c r="P94" s="67">
        <f>(A94-B94)*(I_Cout_ss*$Q$2+C94)</f>
        <v>1.336032389</v>
      </c>
      <c r="Q94" s="67">
        <f>(A94-B94)*(I_Cout_ss*$R$2+C94)</f>
        <v>0.6072874494</v>
      </c>
      <c r="R94" s="67"/>
      <c r="S94" s="67"/>
      <c r="T94" s="67"/>
      <c r="U94" s="67"/>
      <c r="V94" s="67"/>
      <c r="W94" s="67"/>
      <c r="X94" s="67"/>
      <c r="Y94" s="67"/>
      <c r="Z94" s="67"/>
      <c r="AA94" s="67"/>
      <c r="AB94" s="67"/>
      <c r="AC94" s="67"/>
    </row>
    <row r="95" ht="12.0" customHeight="1">
      <c r="A95" s="67">
        <f>VINMAX</f>
        <v>30</v>
      </c>
      <c r="B95" s="244">
        <f>VINMAX*((ROW()-10)/104)</f>
        <v>24.51923077</v>
      </c>
      <c r="C95" s="222">
        <f t="shared" si="1"/>
        <v>0</v>
      </c>
      <c r="D95" s="224">
        <f>B2</f>
        <v>49.6</v>
      </c>
      <c r="E95" s="43">
        <f t="shared" si="2"/>
        <v>9.049824561</v>
      </c>
      <c r="F95" s="222">
        <f>I_Cout_ss+C95</f>
        <v>0.1684210526</v>
      </c>
      <c r="G95" s="222">
        <f t="shared" si="3"/>
        <v>0.1684210526</v>
      </c>
      <c r="H95" s="222">
        <f t="shared" si="4"/>
        <v>0.1684210526</v>
      </c>
      <c r="I95" s="221">
        <f>(COUTMAX/1000000)*(B95-B94)/H95</f>
        <v>0.002397836538</v>
      </c>
      <c r="J95" s="221">
        <f t="shared" si="9"/>
        <v>0.2038161058</v>
      </c>
      <c r="K95" s="243">
        <f t="shared" si="5"/>
        <v>203.8161058</v>
      </c>
      <c r="L95" s="223">
        <f t="shared" si="6"/>
        <v>1</v>
      </c>
      <c r="M95" s="67">
        <f>1/COUTMAX*(E95/2-C95)*1000</f>
        <v>3.232080201</v>
      </c>
      <c r="N95" s="241">
        <f t="shared" si="7"/>
        <v>0.002213387574</v>
      </c>
      <c r="O95" s="67">
        <f t="shared" si="8"/>
        <v>0.9230769231</v>
      </c>
      <c r="P95" s="67">
        <f>(A95-B95)*(I_Cout_ss*$Q$2+C95)</f>
        <v>1.269230769</v>
      </c>
      <c r="Q95" s="67">
        <f>(A95-B95)*(I_Cout_ss*$R$2+C95)</f>
        <v>0.5769230769</v>
      </c>
      <c r="R95" s="67"/>
      <c r="S95" s="67"/>
      <c r="T95" s="67"/>
      <c r="U95" s="67"/>
      <c r="V95" s="67"/>
      <c r="W95" s="67"/>
      <c r="X95" s="67"/>
      <c r="Y95" s="67"/>
      <c r="Z95" s="67"/>
      <c r="AA95" s="67"/>
      <c r="AB95" s="67"/>
      <c r="AC95" s="67"/>
    </row>
    <row r="96" ht="12.0" customHeight="1">
      <c r="A96" s="67">
        <f>VINMAX</f>
        <v>30</v>
      </c>
      <c r="B96" s="244">
        <f>VINMAX*((ROW()-10)/104)</f>
        <v>24.80769231</v>
      </c>
      <c r="C96" s="222">
        <f t="shared" si="1"/>
        <v>0</v>
      </c>
      <c r="D96" s="224">
        <f>B2</f>
        <v>49.6</v>
      </c>
      <c r="E96" s="43">
        <f t="shared" si="2"/>
        <v>9.552592593</v>
      </c>
      <c r="F96" s="222">
        <f>I_Cout_ss+C96</f>
        <v>0.1684210526</v>
      </c>
      <c r="G96" s="222">
        <f t="shared" si="3"/>
        <v>0.1684210526</v>
      </c>
      <c r="H96" s="222">
        <f t="shared" si="4"/>
        <v>0.1684210526</v>
      </c>
      <c r="I96" s="221">
        <f>(COUTMAX/1000000)*(B96-B95)/H96</f>
        <v>0.002397836538</v>
      </c>
      <c r="J96" s="221">
        <f t="shared" si="9"/>
        <v>0.2062139423</v>
      </c>
      <c r="K96" s="243">
        <f t="shared" si="5"/>
        <v>206.2139423</v>
      </c>
      <c r="L96" s="223">
        <f t="shared" si="6"/>
        <v>1</v>
      </c>
      <c r="M96" s="67">
        <f>1/COUTMAX*(E96/2-C96)*1000</f>
        <v>3.411640212</v>
      </c>
      <c r="N96" s="241">
        <f t="shared" si="7"/>
        <v>0.002096893491</v>
      </c>
      <c r="O96" s="67">
        <f t="shared" si="8"/>
        <v>0.8744939271</v>
      </c>
      <c r="P96" s="67">
        <f>(A96-B96)*(I_Cout_ss*$Q$2+C96)</f>
        <v>1.20242915</v>
      </c>
      <c r="Q96" s="67">
        <f>(A96-B96)*(I_Cout_ss*$R$2+C96)</f>
        <v>0.5465587045</v>
      </c>
      <c r="R96" s="67"/>
      <c r="S96" s="67"/>
      <c r="T96" s="67"/>
      <c r="U96" s="67"/>
      <c r="V96" s="67"/>
      <c r="W96" s="67"/>
      <c r="X96" s="67"/>
      <c r="Y96" s="67"/>
      <c r="Z96" s="67"/>
      <c r="AA96" s="67"/>
      <c r="AB96" s="67"/>
      <c r="AC96" s="67"/>
    </row>
    <row r="97" ht="12.0" customHeight="1">
      <c r="A97" s="67">
        <f>VINMAX</f>
        <v>30</v>
      </c>
      <c r="B97" s="244">
        <f>VINMAX*((ROW()-10)/104)</f>
        <v>25.09615385</v>
      </c>
      <c r="C97" s="222">
        <f t="shared" si="1"/>
        <v>0</v>
      </c>
      <c r="D97" s="224">
        <f>B2</f>
        <v>49.6</v>
      </c>
      <c r="E97" s="43">
        <f t="shared" si="2"/>
        <v>10.1145098</v>
      </c>
      <c r="F97" s="222">
        <f>I_Cout_ss+C97</f>
        <v>0.1684210526</v>
      </c>
      <c r="G97" s="222">
        <f t="shared" si="3"/>
        <v>0.1684210526</v>
      </c>
      <c r="H97" s="222">
        <f t="shared" si="4"/>
        <v>0.1684210526</v>
      </c>
      <c r="I97" s="221">
        <f>(COUTMAX/1000000)*(B97-B96)/H97</f>
        <v>0.002397836538</v>
      </c>
      <c r="J97" s="221">
        <f t="shared" si="9"/>
        <v>0.2086117788</v>
      </c>
      <c r="K97" s="243">
        <f t="shared" si="5"/>
        <v>208.6117788</v>
      </c>
      <c r="L97" s="223">
        <f t="shared" si="6"/>
        <v>1</v>
      </c>
      <c r="M97" s="67">
        <f>1/COUTMAX*(E97/2-C97)*1000</f>
        <v>3.61232493</v>
      </c>
      <c r="N97" s="241">
        <f t="shared" si="7"/>
        <v>0.001980399408</v>
      </c>
      <c r="O97" s="67">
        <f t="shared" si="8"/>
        <v>0.8259109312</v>
      </c>
      <c r="P97" s="67">
        <f>(A97-B97)*(I_Cout_ss*$Q$2+C97)</f>
        <v>1.13562753</v>
      </c>
      <c r="Q97" s="67">
        <f>(A97-B97)*(I_Cout_ss*$R$2+C97)</f>
        <v>0.516194332</v>
      </c>
      <c r="R97" s="67"/>
      <c r="S97" s="67"/>
      <c r="T97" s="67"/>
      <c r="U97" s="67"/>
      <c r="V97" s="67"/>
      <c r="W97" s="67"/>
      <c r="X97" s="67"/>
      <c r="Y97" s="67"/>
      <c r="Z97" s="67"/>
      <c r="AA97" s="67"/>
      <c r="AB97" s="67"/>
      <c r="AC97" s="67"/>
    </row>
    <row r="98" ht="12.0" customHeight="1">
      <c r="A98" s="67">
        <f>VINMAX</f>
        <v>30</v>
      </c>
      <c r="B98" s="244">
        <f>VINMAX*((ROW()-10)/104)</f>
        <v>25.38461538</v>
      </c>
      <c r="C98" s="222">
        <f t="shared" si="1"/>
        <v>0</v>
      </c>
      <c r="D98" s="224">
        <f>B2</f>
        <v>49.6</v>
      </c>
      <c r="E98" s="43">
        <f t="shared" si="2"/>
        <v>10.74666667</v>
      </c>
      <c r="F98" s="222">
        <f>I_Cout_ss+C98</f>
        <v>0.1684210526</v>
      </c>
      <c r="G98" s="222">
        <f t="shared" si="3"/>
        <v>0.1684210526</v>
      </c>
      <c r="H98" s="222">
        <f t="shared" si="4"/>
        <v>0.1684210526</v>
      </c>
      <c r="I98" s="221">
        <f>(COUTMAX/1000000)*(B98-B97)/H98</f>
        <v>0.002397836538</v>
      </c>
      <c r="J98" s="221">
        <f t="shared" si="9"/>
        <v>0.2110096154</v>
      </c>
      <c r="K98" s="243">
        <f t="shared" si="5"/>
        <v>211.0096154</v>
      </c>
      <c r="L98" s="223">
        <f t="shared" si="6"/>
        <v>1</v>
      </c>
      <c r="M98" s="67">
        <f>1/COUTMAX*(E98/2-C98)*1000</f>
        <v>3.838095238</v>
      </c>
      <c r="N98" s="241">
        <f t="shared" si="7"/>
        <v>0.001863905325</v>
      </c>
      <c r="O98" s="67">
        <f t="shared" si="8"/>
        <v>0.7773279352</v>
      </c>
      <c r="P98" s="67">
        <f>(A98-B98)*(I_Cout_ss*$Q$2+C98)</f>
        <v>1.068825911</v>
      </c>
      <c r="Q98" s="67">
        <f>(A98-B98)*(I_Cout_ss*$R$2+C98)</f>
        <v>0.4858299595</v>
      </c>
      <c r="R98" s="67"/>
      <c r="S98" s="67"/>
      <c r="T98" s="67"/>
      <c r="U98" s="67"/>
      <c r="V98" s="67"/>
      <c r="W98" s="67"/>
      <c r="X98" s="67"/>
      <c r="Y98" s="67"/>
      <c r="Z98" s="67"/>
      <c r="AA98" s="67"/>
      <c r="AB98" s="67"/>
      <c r="AC98" s="67"/>
    </row>
    <row r="99" ht="12.0" customHeight="1">
      <c r="A99" s="67">
        <f>VINMAX</f>
        <v>30</v>
      </c>
      <c r="B99" s="244">
        <f>VINMAX*((ROW()-10)/104)</f>
        <v>25.67307692</v>
      </c>
      <c r="C99" s="222">
        <f t="shared" si="1"/>
        <v>0</v>
      </c>
      <c r="D99" s="224">
        <f>B2</f>
        <v>49.6</v>
      </c>
      <c r="E99" s="43">
        <f t="shared" si="2"/>
        <v>11</v>
      </c>
      <c r="F99" s="222">
        <f>I_Cout_ss+C99</f>
        <v>0.1684210526</v>
      </c>
      <c r="G99" s="222">
        <f t="shared" si="3"/>
        <v>0.1684210526</v>
      </c>
      <c r="H99" s="222">
        <f t="shared" si="4"/>
        <v>0.1684210526</v>
      </c>
      <c r="I99" s="221">
        <f>(COUTMAX/1000000)*(B99-B98)/H99</f>
        <v>0.002397836538</v>
      </c>
      <c r="J99" s="221">
        <f t="shared" si="9"/>
        <v>0.2134074519</v>
      </c>
      <c r="K99" s="243">
        <f t="shared" si="5"/>
        <v>213.4074519</v>
      </c>
      <c r="L99" s="223">
        <f t="shared" si="6"/>
        <v>1</v>
      </c>
      <c r="M99" s="67">
        <f>1/COUTMAX*(E99/2-C99)*1000</f>
        <v>3.928571429</v>
      </c>
      <c r="N99" s="241">
        <f t="shared" si="7"/>
        <v>0.001747411243</v>
      </c>
      <c r="O99" s="67">
        <f t="shared" si="8"/>
        <v>0.7287449393</v>
      </c>
      <c r="P99" s="67">
        <f>(A99-B99)*(I_Cout_ss*$Q$2+C99)</f>
        <v>1.002024291</v>
      </c>
      <c r="Q99" s="67">
        <f>(A99-B99)*(I_Cout_ss*$R$2+C99)</f>
        <v>0.455465587</v>
      </c>
      <c r="R99" s="67"/>
      <c r="S99" s="67"/>
      <c r="T99" s="67"/>
      <c r="U99" s="67"/>
      <c r="V99" s="67"/>
      <c r="W99" s="67"/>
      <c r="X99" s="67"/>
      <c r="Y99" s="67"/>
      <c r="Z99" s="67"/>
      <c r="AA99" s="67"/>
      <c r="AB99" s="67"/>
      <c r="AC99" s="67"/>
    </row>
    <row r="100" ht="12.0" customHeight="1">
      <c r="A100" s="67">
        <f>VINMAX</f>
        <v>30</v>
      </c>
      <c r="B100" s="244">
        <f>VINMAX*((ROW()-10)/104)</f>
        <v>25.96153846</v>
      </c>
      <c r="C100" s="222">
        <f t="shared" si="1"/>
        <v>0</v>
      </c>
      <c r="D100" s="224">
        <f>B2</f>
        <v>49.6</v>
      </c>
      <c r="E100" s="43">
        <f t="shared" si="2"/>
        <v>11</v>
      </c>
      <c r="F100" s="222">
        <f>I_Cout_ss+C100</f>
        <v>0.1684210526</v>
      </c>
      <c r="G100" s="222">
        <f t="shared" si="3"/>
        <v>0.1684210526</v>
      </c>
      <c r="H100" s="222">
        <f t="shared" si="4"/>
        <v>0.1684210526</v>
      </c>
      <c r="I100" s="221">
        <f>(COUTMAX/1000000)*(B100-B99)/H100</f>
        <v>0.002397836538</v>
      </c>
      <c r="J100" s="221">
        <f t="shared" si="9"/>
        <v>0.2158052885</v>
      </c>
      <c r="K100" s="243">
        <f t="shared" si="5"/>
        <v>215.8052885</v>
      </c>
      <c r="L100" s="223">
        <f t="shared" si="6"/>
        <v>1</v>
      </c>
      <c r="M100" s="67">
        <f>1/COUTMAX*(E100/2-C100)*1000</f>
        <v>3.928571429</v>
      </c>
      <c r="N100" s="241">
        <f t="shared" si="7"/>
        <v>0.00163091716</v>
      </c>
      <c r="O100" s="67">
        <f t="shared" si="8"/>
        <v>0.6801619433</v>
      </c>
      <c r="P100" s="67">
        <f>(A100-B100)*(I_Cout_ss*$Q$2+C100)</f>
        <v>0.9352226721</v>
      </c>
      <c r="Q100" s="67">
        <f>(A100-B100)*(I_Cout_ss*$R$2+C100)</f>
        <v>0.4251012146</v>
      </c>
      <c r="R100" s="67"/>
      <c r="S100" s="67"/>
      <c r="T100" s="67"/>
      <c r="U100" s="67"/>
      <c r="V100" s="67"/>
      <c r="W100" s="67"/>
      <c r="X100" s="67"/>
      <c r="Y100" s="67"/>
      <c r="Z100" s="67"/>
      <c r="AA100" s="67"/>
      <c r="AB100" s="67"/>
      <c r="AC100" s="67"/>
    </row>
    <row r="101" ht="12.0" customHeight="1">
      <c r="A101" s="67">
        <f>VINMAX</f>
        <v>30</v>
      </c>
      <c r="B101" s="244">
        <f>VINMAX*((ROW()-10)/104)</f>
        <v>26.25</v>
      </c>
      <c r="C101" s="222">
        <f t="shared" si="1"/>
        <v>0</v>
      </c>
      <c r="D101" s="224">
        <f>B2</f>
        <v>49.6</v>
      </c>
      <c r="E101" s="43">
        <f t="shared" si="2"/>
        <v>11</v>
      </c>
      <c r="F101" s="222">
        <f>I_Cout_ss+C101</f>
        <v>0.1684210526</v>
      </c>
      <c r="G101" s="222">
        <f t="shared" si="3"/>
        <v>0.1684210526</v>
      </c>
      <c r="H101" s="222">
        <f t="shared" si="4"/>
        <v>0.1684210526</v>
      </c>
      <c r="I101" s="221">
        <f>(COUTMAX/1000000)*(B101-B100)/H101</f>
        <v>0.002397836538</v>
      </c>
      <c r="J101" s="221">
        <f t="shared" si="9"/>
        <v>0.218203125</v>
      </c>
      <c r="K101" s="243">
        <f t="shared" si="5"/>
        <v>218.203125</v>
      </c>
      <c r="L101" s="223">
        <f t="shared" si="6"/>
        <v>1</v>
      </c>
      <c r="M101" s="67">
        <f>1/COUTMAX*(E101/2-C101)*1000</f>
        <v>3.928571429</v>
      </c>
      <c r="N101" s="241">
        <f t="shared" si="7"/>
        <v>0.001514423077</v>
      </c>
      <c r="O101" s="67">
        <f t="shared" si="8"/>
        <v>0.6315789474</v>
      </c>
      <c r="P101" s="67">
        <f>(A101-B101)*(I_Cout_ss*$Q$2+C101)</f>
        <v>0.8684210526</v>
      </c>
      <c r="Q101" s="67">
        <f>(A101-B101)*(I_Cout_ss*$R$2+C101)</f>
        <v>0.3947368421</v>
      </c>
      <c r="R101" s="67"/>
      <c r="S101" s="67"/>
      <c r="T101" s="67"/>
      <c r="U101" s="67"/>
      <c r="V101" s="67"/>
      <c r="W101" s="67"/>
      <c r="X101" s="67"/>
      <c r="Y101" s="67"/>
      <c r="Z101" s="67"/>
      <c r="AA101" s="67"/>
      <c r="AB101" s="67"/>
      <c r="AC101" s="67"/>
    </row>
    <row r="102" ht="12.0" customHeight="1">
      <c r="A102" s="67">
        <f>VINMAX</f>
        <v>30</v>
      </c>
      <c r="B102" s="244">
        <f>VINMAX*((ROW()-10)/104)</f>
        <v>26.53846154</v>
      </c>
      <c r="C102" s="222">
        <f t="shared" si="1"/>
        <v>0</v>
      </c>
      <c r="D102" s="224">
        <f>B2</f>
        <v>49.6</v>
      </c>
      <c r="E102" s="43">
        <f t="shared" si="2"/>
        <v>11</v>
      </c>
      <c r="F102" s="222">
        <f>I_Cout_ss+C102</f>
        <v>0.1684210526</v>
      </c>
      <c r="G102" s="222">
        <f t="shared" si="3"/>
        <v>0.1684210526</v>
      </c>
      <c r="H102" s="222">
        <f t="shared" si="4"/>
        <v>0.1684210526</v>
      </c>
      <c r="I102" s="221">
        <f>(COUTMAX/1000000)*(B102-B101)/H102</f>
        <v>0.002397836538</v>
      </c>
      <c r="J102" s="221">
        <f t="shared" si="9"/>
        <v>0.2206009615</v>
      </c>
      <c r="K102" s="243">
        <f t="shared" si="5"/>
        <v>220.6009615</v>
      </c>
      <c r="L102" s="223">
        <f t="shared" si="6"/>
        <v>1</v>
      </c>
      <c r="M102" s="67">
        <f>1/COUTMAX*(E102/2-C102)*1000</f>
        <v>3.928571429</v>
      </c>
      <c r="N102" s="241">
        <f t="shared" si="7"/>
        <v>0.001397928994</v>
      </c>
      <c r="O102" s="67">
        <f t="shared" si="8"/>
        <v>0.5829959514</v>
      </c>
      <c r="P102" s="67">
        <f>(A102-B102)*(I_Cout_ss*$Q$2+C102)</f>
        <v>0.8016194332</v>
      </c>
      <c r="Q102" s="67">
        <f>(A102-B102)*(I_Cout_ss*$R$2+C102)</f>
        <v>0.3643724696</v>
      </c>
      <c r="R102" s="67"/>
      <c r="S102" s="67"/>
      <c r="T102" s="67"/>
      <c r="U102" s="67"/>
      <c r="V102" s="67"/>
      <c r="W102" s="67"/>
      <c r="X102" s="67"/>
      <c r="Y102" s="67"/>
      <c r="Z102" s="67"/>
      <c r="AA102" s="67"/>
      <c r="AB102" s="67"/>
      <c r="AC102" s="67"/>
    </row>
    <row r="103" ht="12.0" customHeight="1">
      <c r="A103" s="67">
        <f>VINMAX</f>
        <v>30</v>
      </c>
      <c r="B103" s="244">
        <f>VINMAX*((ROW()-10)/104)</f>
        <v>26.82692308</v>
      </c>
      <c r="C103" s="222">
        <f t="shared" si="1"/>
        <v>0</v>
      </c>
      <c r="D103" s="224">
        <f>B2</f>
        <v>49.6</v>
      </c>
      <c r="E103" s="43">
        <f t="shared" si="2"/>
        <v>11</v>
      </c>
      <c r="F103" s="222">
        <f>I_Cout_ss+C103</f>
        <v>0.1684210526</v>
      </c>
      <c r="G103" s="222">
        <f t="shared" si="3"/>
        <v>0.1684210526</v>
      </c>
      <c r="H103" s="222">
        <f t="shared" si="4"/>
        <v>0.1684210526</v>
      </c>
      <c r="I103" s="221">
        <f>(COUTMAX/1000000)*(B103-B102)/H103</f>
        <v>0.002397836538</v>
      </c>
      <c r="J103" s="221">
        <f t="shared" si="9"/>
        <v>0.2229987981</v>
      </c>
      <c r="K103" s="243">
        <f t="shared" si="5"/>
        <v>222.9987981</v>
      </c>
      <c r="L103" s="223">
        <f t="shared" si="6"/>
        <v>1</v>
      </c>
      <c r="M103" s="67">
        <f>1/COUTMAX*(E103/2-C103)*1000</f>
        <v>3.928571429</v>
      </c>
      <c r="N103" s="241">
        <f t="shared" si="7"/>
        <v>0.001281434911</v>
      </c>
      <c r="O103" s="67">
        <f t="shared" si="8"/>
        <v>0.5344129555</v>
      </c>
      <c r="P103" s="67">
        <f>(A103-B103)*(I_Cout_ss*$Q$2+C103)</f>
        <v>0.7348178138</v>
      </c>
      <c r="Q103" s="67">
        <f>(A103-B103)*(I_Cout_ss*$R$2+C103)</f>
        <v>0.3340080972</v>
      </c>
      <c r="R103" s="67"/>
      <c r="S103" s="67"/>
      <c r="T103" s="67"/>
      <c r="U103" s="67"/>
      <c r="V103" s="67"/>
      <c r="W103" s="67"/>
      <c r="X103" s="67"/>
      <c r="Y103" s="67"/>
      <c r="Z103" s="67"/>
      <c r="AA103" s="67"/>
      <c r="AB103" s="67"/>
      <c r="AC103" s="67"/>
    </row>
    <row r="104" ht="12.0" customHeight="1">
      <c r="A104" s="67">
        <f>VINMAX</f>
        <v>30</v>
      </c>
      <c r="B104" s="244">
        <f>VINMAX*((ROW()-10)/104)</f>
        <v>27.11538462</v>
      </c>
      <c r="C104" s="222">
        <f t="shared" si="1"/>
        <v>0</v>
      </c>
      <c r="D104" s="224">
        <f>B2</f>
        <v>49.6</v>
      </c>
      <c r="E104" s="43">
        <f t="shared" si="2"/>
        <v>11</v>
      </c>
      <c r="F104" s="222">
        <f>I_Cout_ss+C104</f>
        <v>0.1684210526</v>
      </c>
      <c r="G104" s="222">
        <f t="shared" si="3"/>
        <v>0.1684210526</v>
      </c>
      <c r="H104" s="222">
        <f t="shared" si="4"/>
        <v>0.1684210526</v>
      </c>
      <c r="I104" s="221">
        <f>(COUTMAX/1000000)*(B104-B103)/H104</f>
        <v>0.002397836538</v>
      </c>
      <c r="J104" s="221">
        <f t="shared" si="9"/>
        <v>0.2253966346</v>
      </c>
      <c r="K104" s="243">
        <f t="shared" si="5"/>
        <v>225.3966346</v>
      </c>
      <c r="L104" s="223">
        <f t="shared" si="6"/>
        <v>1</v>
      </c>
      <c r="M104" s="67">
        <f>1/COUTMAX*(E104/2-C104)*1000</f>
        <v>3.928571429</v>
      </c>
      <c r="N104" s="241">
        <f t="shared" si="7"/>
        <v>0.001164940828</v>
      </c>
      <c r="O104" s="67">
        <f t="shared" si="8"/>
        <v>0.4858299595</v>
      </c>
      <c r="P104" s="67">
        <f>(A104-B104)*(I_Cout_ss*$Q$2+C104)</f>
        <v>0.6680161943</v>
      </c>
      <c r="Q104" s="67">
        <f>(A104-B104)*(I_Cout_ss*$R$2+C104)</f>
        <v>0.3036437247</v>
      </c>
      <c r="R104" s="67"/>
      <c r="S104" s="67"/>
      <c r="T104" s="67"/>
      <c r="U104" s="67"/>
      <c r="V104" s="67"/>
      <c r="W104" s="67"/>
      <c r="X104" s="67"/>
      <c r="Y104" s="67"/>
      <c r="Z104" s="67"/>
      <c r="AA104" s="67"/>
      <c r="AB104" s="67"/>
      <c r="AC104" s="67"/>
    </row>
    <row r="105" ht="12.0" customHeight="1">
      <c r="A105" s="67">
        <f>VINMAX</f>
        <v>30</v>
      </c>
      <c r="B105" s="244">
        <f>VINMAX*((ROW()-10)/104)</f>
        <v>27.40384615</v>
      </c>
      <c r="C105" s="222">
        <f t="shared" si="1"/>
        <v>0</v>
      </c>
      <c r="D105" s="224">
        <f>B2</f>
        <v>49.6</v>
      </c>
      <c r="E105" s="43">
        <f t="shared" si="2"/>
        <v>11</v>
      </c>
      <c r="F105" s="222">
        <f>I_Cout_ss+C105</f>
        <v>0.1684210526</v>
      </c>
      <c r="G105" s="222">
        <f t="shared" si="3"/>
        <v>0.1684210526</v>
      </c>
      <c r="H105" s="222">
        <f t="shared" si="4"/>
        <v>0.1684210526</v>
      </c>
      <c r="I105" s="221">
        <f>(COUTMAX/1000000)*(B105-B104)/H105</f>
        <v>0.002397836538</v>
      </c>
      <c r="J105" s="221">
        <f t="shared" si="9"/>
        <v>0.2277944712</v>
      </c>
      <c r="K105" s="243">
        <f t="shared" si="5"/>
        <v>227.7944712</v>
      </c>
      <c r="L105" s="223">
        <f t="shared" si="6"/>
        <v>1</v>
      </c>
      <c r="M105" s="67">
        <f>1/COUTMAX*(E105/2-C105)*1000</f>
        <v>3.928571429</v>
      </c>
      <c r="N105" s="241">
        <f t="shared" si="7"/>
        <v>0.001048446746</v>
      </c>
      <c r="O105" s="67">
        <f t="shared" si="8"/>
        <v>0.4372469636</v>
      </c>
      <c r="P105" s="67">
        <f>(A105-B105)*(I_Cout_ss*$Q$2+C105)</f>
        <v>0.6012145749</v>
      </c>
      <c r="Q105" s="67">
        <f>(A105-B105)*(I_Cout_ss*$R$2+C105)</f>
        <v>0.2732793522</v>
      </c>
      <c r="R105" s="67"/>
      <c r="S105" s="67"/>
      <c r="T105" s="67"/>
      <c r="U105" s="67"/>
      <c r="V105" s="67"/>
      <c r="W105" s="67"/>
      <c r="X105" s="67"/>
      <c r="Y105" s="67"/>
      <c r="Z105" s="67"/>
      <c r="AA105" s="67"/>
      <c r="AB105" s="67"/>
      <c r="AC105" s="67"/>
    </row>
    <row r="106" ht="12.0" customHeight="1">
      <c r="A106" s="67">
        <f>VINMAX</f>
        <v>30</v>
      </c>
      <c r="B106" s="244">
        <f>VINMAX*((ROW()-10)/104)</f>
        <v>27.69230769</v>
      </c>
      <c r="C106" s="222">
        <f t="shared" si="1"/>
        <v>0</v>
      </c>
      <c r="D106" s="224">
        <f>B2</f>
        <v>49.6</v>
      </c>
      <c r="E106" s="43">
        <f t="shared" si="2"/>
        <v>11</v>
      </c>
      <c r="F106" s="222">
        <f>I_Cout_ss+C106</f>
        <v>0.1684210526</v>
      </c>
      <c r="G106" s="222">
        <f t="shared" si="3"/>
        <v>0.1684210526</v>
      </c>
      <c r="H106" s="222">
        <f t="shared" si="4"/>
        <v>0.1684210526</v>
      </c>
      <c r="I106" s="221">
        <f>(COUTMAX/1000000)*(B106-B105)/H106</f>
        <v>0.002397836538</v>
      </c>
      <c r="J106" s="221">
        <f t="shared" si="9"/>
        <v>0.2301923077</v>
      </c>
      <c r="K106" s="243">
        <f t="shared" si="5"/>
        <v>230.1923077</v>
      </c>
      <c r="L106" s="223">
        <f t="shared" si="6"/>
        <v>1</v>
      </c>
      <c r="M106" s="67">
        <f>1/COUTMAX*(E106/2-C106)*1000</f>
        <v>3.928571429</v>
      </c>
      <c r="N106" s="241">
        <f t="shared" si="7"/>
        <v>0.0009319526627</v>
      </c>
      <c r="O106" s="67">
        <f t="shared" si="8"/>
        <v>0.3886639676</v>
      </c>
      <c r="P106" s="67">
        <f>(A106-B106)*(I_Cout_ss*$Q$2+C106)</f>
        <v>0.5344129555</v>
      </c>
      <c r="Q106" s="67">
        <f>(A106-B106)*(I_Cout_ss*$R$2+C106)</f>
        <v>0.2429149798</v>
      </c>
      <c r="R106" s="67"/>
      <c r="S106" s="67"/>
      <c r="T106" s="67"/>
      <c r="U106" s="67"/>
      <c r="V106" s="67"/>
      <c r="W106" s="67"/>
      <c r="X106" s="67"/>
      <c r="Y106" s="67"/>
      <c r="Z106" s="67"/>
      <c r="AA106" s="67"/>
      <c r="AB106" s="67"/>
      <c r="AC106" s="67"/>
    </row>
    <row r="107" ht="12.0" customHeight="1">
      <c r="A107" s="67">
        <f>VINMAX</f>
        <v>30</v>
      </c>
      <c r="B107" s="244">
        <f>VINMAX*((ROW()-10)/104)</f>
        <v>27.98076923</v>
      </c>
      <c r="C107" s="222">
        <f t="shared" si="1"/>
        <v>0</v>
      </c>
      <c r="D107" s="224">
        <f>B2</f>
        <v>49.6</v>
      </c>
      <c r="E107" s="43">
        <f t="shared" si="2"/>
        <v>11</v>
      </c>
      <c r="F107" s="222">
        <f>I_Cout_ss+C107</f>
        <v>0.1684210526</v>
      </c>
      <c r="G107" s="222">
        <f t="shared" si="3"/>
        <v>0.1684210526</v>
      </c>
      <c r="H107" s="222">
        <f t="shared" si="4"/>
        <v>0.1684210526</v>
      </c>
      <c r="I107" s="221">
        <f>(COUTMAX/1000000)*(B107-B106)/H107</f>
        <v>0.002397836538</v>
      </c>
      <c r="J107" s="221">
        <f t="shared" si="9"/>
        <v>0.2325901442</v>
      </c>
      <c r="K107" s="243">
        <f t="shared" si="5"/>
        <v>232.5901442</v>
      </c>
      <c r="L107" s="223">
        <f t="shared" si="6"/>
        <v>1</v>
      </c>
      <c r="M107" s="67">
        <f>1/COUTMAX*(E107/2-C107)*1000</f>
        <v>3.928571429</v>
      </c>
      <c r="N107" s="241">
        <f t="shared" si="7"/>
        <v>0.0008154585799</v>
      </c>
      <c r="O107" s="67">
        <f t="shared" si="8"/>
        <v>0.3400809717</v>
      </c>
      <c r="P107" s="67">
        <f>(A107-B107)*(I_Cout_ss*$Q$2+C107)</f>
        <v>0.467611336</v>
      </c>
      <c r="Q107" s="67">
        <f>(A107-B107)*(I_Cout_ss*$R$2+C107)</f>
        <v>0.2125506073</v>
      </c>
      <c r="R107" s="67"/>
      <c r="S107" s="67"/>
      <c r="T107" s="67"/>
      <c r="U107" s="67"/>
      <c r="V107" s="67"/>
      <c r="W107" s="67"/>
      <c r="X107" s="67"/>
      <c r="Y107" s="67"/>
      <c r="Z107" s="67"/>
      <c r="AA107" s="67"/>
      <c r="AB107" s="67"/>
      <c r="AC107" s="67"/>
    </row>
    <row r="108" ht="12.0" customHeight="1">
      <c r="A108" s="67">
        <f>VINMAX</f>
        <v>30</v>
      </c>
      <c r="B108" s="244">
        <f>VINMAX*((ROW()-10)/104)</f>
        <v>28.26923077</v>
      </c>
      <c r="C108" s="222">
        <f t="shared" si="1"/>
        <v>0</v>
      </c>
      <c r="D108" s="224">
        <f>B2</f>
        <v>49.6</v>
      </c>
      <c r="E108" s="43">
        <f t="shared" si="2"/>
        <v>11</v>
      </c>
      <c r="F108" s="222">
        <f>I_Cout_ss+C108</f>
        <v>0.1684210526</v>
      </c>
      <c r="G108" s="222">
        <f t="shared" si="3"/>
        <v>0.1684210526</v>
      </c>
      <c r="H108" s="222">
        <f t="shared" si="4"/>
        <v>0.1684210526</v>
      </c>
      <c r="I108" s="221">
        <f>(COUTMAX/1000000)*(B108-B107)/H108</f>
        <v>0.002397836538</v>
      </c>
      <c r="J108" s="221">
        <f t="shared" si="9"/>
        <v>0.2349879808</v>
      </c>
      <c r="K108" s="243">
        <f t="shared" si="5"/>
        <v>234.9879808</v>
      </c>
      <c r="L108" s="223">
        <f t="shared" si="6"/>
        <v>1</v>
      </c>
      <c r="M108" s="67">
        <f>1/COUTMAX*(E108/2-C108)*1000</f>
        <v>3.928571429</v>
      </c>
      <c r="N108" s="241">
        <f t="shared" si="7"/>
        <v>0.000698964497</v>
      </c>
      <c r="O108" s="67">
        <f t="shared" si="8"/>
        <v>0.2914979757</v>
      </c>
      <c r="P108" s="67">
        <f>(A108-B108)*(I_Cout_ss*$Q$2+C108)</f>
        <v>0.4008097166</v>
      </c>
      <c r="Q108" s="67">
        <f>(A108-B108)*(I_Cout_ss*$R$2+C108)</f>
        <v>0.1821862348</v>
      </c>
      <c r="R108" s="67"/>
      <c r="S108" s="67"/>
      <c r="T108" s="67"/>
      <c r="U108" s="67"/>
      <c r="V108" s="67"/>
      <c r="W108" s="67"/>
      <c r="X108" s="67"/>
      <c r="Y108" s="67"/>
      <c r="Z108" s="67"/>
      <c r="AA108" s="67"/>
      <c r="AB108" s="67"/>
      <c r="AC108" s="67"/>
    </row>
    <row r="109" ht="12.0" customHeight="1">
      <c r="A109" s="67">
        <f>VINMAX</f>
        <v>30</v>
      </c>
      <c r="B109" s="244">
        <f>VINMAX*((ROW()-10)/104)</f>
        <v>28.55769231</v>
      </c>
      <c r="C109" s="222">
        <f t="shared" si="1"/>
        <v>0</v>
      </c>
      <c r="D109" s="224">
        <f>B2</f>
        <v>49.6</v>
      </c>
      <c r="E109" s="43">
        <f t="shared" si="2"/>
        <v>11</v>
      </c>
      <c r="F109" s="222">
        <f>I_Cout_ss+C109</f>
        <v>0.1684210526</v>
      </c>
      <c r="G109" s="222">
        <f t="shared" si="3"/>
        <v>0.1684210526</v>
      </c>
      <c r="H109" s="222">
        <f t="shared" si="4"/>
        <v>0.1684210526</v>
      </c>
      <c r="I109" s="221">
        <f>(COUTMAX/1000000)*(B109-B108)/H109</f>
        <v>0.002397836538</v>
      </c>
      <c r="J109" s="221">
        <f t="shared" si="9"/>
        <v>0.2373858173</v>
      </c>
      <c r="K109" s="243">
        <f t="shared" si="5"/>
        <v>237.3858173</v>
      </c>
      <c r="L109" s="223">
        <f t="shared" si="6"/>
        <v>1</v>
      </c>
      <c r="M109" s="67">
        <f>1/COUTMAX*(E109/2-C109)*1000</f>
        <v>3.928571429</v>
      </c>
      <c r="N109" s="241">
        <f t="shared" si="7"/>
        <v>0.0005824704142</v>
      </c>
      <c r="O109" s="67">
        <f t="shared" si="8"/>
        <v>0.2429149798</v>
      </c>
      <c r="P109" s="67">
        <f>(A109-B109)*(I_Cout_ss*$Q$2+C109)</f>
        <v>0.3340080972</v>
      </c>
      <c r="Q109" s="67">
        <f>(A109-B109)*(I_Cout_ss*$R$2+C109)</f>
        <v>0.1518218623</v>
      </c>
      <c r="R109" s="67"/>
      <c r="S109" s="67"/>
      <c r="T109" s="67"/>
      <c r="U109" s="67"/>
      <c r="V109" s="67"/>
      <c r="W109" s="67"/>
      <c r="X109" s="67"/>
      <c r="Y109" s="67"/>
      <c r="Z109" s="67"/>
      <c r="AA109" s="67"/>
      <c r="AB109" s="67"/>
      <c r="AC109" s="67"/>
    </row>
    <row r="110" ht="12.0" customHeight="1">
      <c r="A110" s="67">
        <f>VINMAX</f>
        <v>30</v>
      </c>
      <c r="B110" s="244">
        <f>VINMAX*((ROW()-10)/104)</f>
        <v>28.84615385</v>
      </c>
      <c r="C110" s="222">
        <f t="shared" si="1"/>
        <v>0</v>
      </c>
      <c r="D110" s="224">
        <f>B2</f>
        <v>49.6</v>
      </c>
      <c r="E110" s="43">
        <f t="shared" si="2"/>
        <v>11</v>
      </c>
      <c r="F110" s="222">
        <f>I_Cout_ss+C110</f>
        <v>0.1684210526</v>
      </c>
      <c r="G110" s="222">
        <f t="shared" si="3"/>
        <v>0.1684210526</v>
      </c>
      <c r="H110" s="222">
        <f t="shared" si="4"/>
        <v>0.1684210526</v>
      </c>
      <c r="I110" s="221">
        <f>(COUTMAX/1000000)*(B110-B109)/H110</f>
        <v>0.002397836538</v>
      </c>
      <c r="J110" s="221">
        <f t="shared" si="9"/>
        <v>0.2397836538</v>
      </c>
      <c r="K110" s="243">
        <f t="shared" si="5"/>
        <v>239.7836538</v>
      </c>
      <c r="L110" s="223">
        <f t="shared" si="6"/>
        <v>1</v>
      </c>
      <c r="M110" s="67">
        <f>1/COUTMAX*(E110/2-C110)*1000</f>
        <v>3.928571429</v>
      </c>
      <c r="N110" s="241">
        <f t="shared" si="7"/>
        <v>0.0004659763314</v>
      </c>
      <c r="O110" s="67">
        <f t="shared" si="8"/>
        <v>0.1943319838</v>
      </c>
      <c r="P110" s="67">
        <f>(A110-B110)*(I_Cout_ss*$Q$2+C110)</f>
        <v>0.2672064777</v>
      </c>
      <c r="Q110" s="67">
        <f>(A110-B110)*(I_Cout_ss*$R$2+C110)</f>
        <v>0.1214574899</v>
      </c>
      <c r="R110" s="67"/>
      <c r="S110" s="67"/>
      <c r="T110" s="67"/>
      <c r="U110" s="67"/>
      <c r="V110" s="67"/>
      <c r="W110" s="67"/>
      <c r="X110" s="67"/>
      <c r="Y110" s="67"/>
      <c r="Z110" s="67"/>
      <c r="AA110" s="67"/>
      <c r="AB110" s="67"/>
      <c r="AC110" s="67"/>
    </row>
    <row r="111" ht="12.0" customHeight="1">
      <c r="A111" s="67">
        <f>VINMAX</f>
        <v>30</v>
      </c>
      <c r="B111" s="244">
        <f>VINMAX*((ROW()-10)/104)</f>
        <v>29.13461538</v>
      </c>
      <c r="C111" s="222">
        <f t="shared" si="1"/>
        <v>0</v>
      </c>
      <c r="D111" s="224">
        <f>B2</f>
        <v>49.6</v>
      </c>
      <c r="E111" s="243">
        <f t="shared" ref="E111:E114" si="10">$C$2</f>
        <v>11</v>
      </c>
      <c r="F111" s="222">
        <f>I_Cout_ss+C111</f>
        <v>0.1684210526</v>
      </c>
      <c r="G111" s="222">
        <f t="shared" si="3"/>
        <v>0.1684210526</v>
      </c>
      <c r="H111" s="222">
        <f t="shared" si="4"/>
        <v>0.1684210526</v>
      </c>
      <c r="I111" s="221">
        <f>(COUTMAX/1000000)*(B111-B110)/H111</f>
        <v>0.002397836538</v>
      </c>
      <c r="J111" s="221">
        <f t="shared" si="9"/>
        <v>0.2421814904</v>
      </c>
      <c r="K111" s="243">
        <f t="shared" si="5"/>
        <v>242.1814904</v>
      </c>
      <c r="L111" s="223">
        <f t="shared" si="6"/>
        <v>1</v>
      </c>
      <c r="M111" s="67">
        <f>1/COUTMAX*(E111/2-C111)*1000</f>
        <v>3.928571429</v>
      </c>
      <c r="N111" s="241">
        <f t="shared" si="7"/>
        <v>0.0003494822485</v>
      </c>
      <c r="O111" s="67">
        <f t="shared" si="8"/>
        <v>0.1457489879</v>
      </c>
      <c r="P111" s="67">
        <f>(A111-B111)*(I_Cout_ss*$Q$2+C111)</f>
        <v>0.2004048583</v>
      </c>
      <c r="Q111" s="67">
        <f>(A111-B111)*(I_Cout_ss*$R$2+C111)</f>
        <v>0.09109311741</v>
      </c>
      <c r="R111" s="67"/>
      <c r="S111" s="67"/>
      <c r="T111" s="67"/>
      <c r="U111" s="67"/>
      <c r="V111" s="67"/>
      <c r="W111" s="67"/>
      <c r="X111" s="67"/>
      <c r="Y111" s="67"/>
      <c r="Z111" s="67"/>
      <c r="AA111" s="67"/>
      <c r="AB111" s="67"/>
      <c r="AC111" s="67"/>
    </row>
    <row r="112" ht="12.0" customHeight="1">
      <c r="A112" s="67">
        <f>VINMAX</f>
        <v>30</v>
      </c>
      <c r="B112" s="244">
        <f>VINMAX*((ROW()-10)/104)</f>
        <v>29.42307692</v>
      </c>
      <c r="C112" s="222">
        <f t="shared" si="1"/>
        <v>0</v>
      </c>
      <c r="D112" s="224">
        <f>B2</f>
        <v>49.6</v>
      </c>
      <c r="E112" s="243">
        <f t="shared" si="10"/>
        <v>11</v>
      </c>
      <c r="F112" s="222">
        <f>I_Cout_ss+C112</f>
        <v>0.1684210526</v>
      </c>
      <c r="G112" s="222">
        <f t="shared" si="3"/>
        <v>0.1684210526</v>
      </c>
      <c r="H112" s="222">
        <f t="shared" si="4"/>
        <v>0.1684210526</v>
      </c>
      <c r="I112" s="221">
        <f>(COUTMAX/1000000)*(B112-B111)/H112</f>
        <v>0.002397836538</v>
      </c>
      <c r="J112" s="221">
        <f t="shared" si="9"/>
        <v>0.2445793269</v>
      </c>
      <c r="K112" s="243">
        <f t="shared" si="5"/>
        <v>244.5793269</v>
      </c>
      <c r="L112" s="223">
        <f t="shared" si="6"/>
        <v>1</v>
      </c>
      <c r="M112" s="67">
        <f>1/COUTMAX*(E112/2-C112)*1000</f>
        <v>3.928571429</v>
      </c>
      <c r="N112" s="241">
        <f t="shared" si="7"/>
        <v>0.0002329881657</v>
      </c>
      <c r="O112" s="67">
        <f t="shared" si="8"/>
        <v>0.0971659919</v>
      </c>
      <c r="P112" s="67">
        <f>(A112-B112)*(I_Cout_ss*$Q$2+C112)</f>
        <v>0.1336032389</v>
      </c>
      <c r="Q112" s="67">
        <f>(A112-B112)*(I_Cout_ss*$R$2+C112)</f>
        <v>0.06072874494</v>
      </c>
      <c r="R112" s="67"/>
      <c r="S112" s="67"/>
      <c r="T112" s="67"/>
      <c r="U112" s="67"/>
      <c r="V112" s="67"/>
      <c r="W112" s="67"/>
      <c r="X112" s="67"/>
      <c r="Y112" s="67"/>
      <c r="Z112" s="67"/>
      <c r="AA112" s="67"/>
      <c r="AB112" s="67"/>
      <c r="AC112" s="67"/>
    </row>
    <row r="113" ht="12.0" customHeight="1">
      <c r="A113" s="67">
        <f>VINMAX</f>
        <v>30</v>
      </c>
      <c r="B113" s="244">
        <f>VINMAX*((ROW()-10)/104)</f>
        <v>29.71153846</v>
      </c>
      <c r="C113" s="222">
        <f t="shared" si="1"/>
        <v>0</v>
      </c>
      <c r="D113" s="224">
        <f>B2</f>
        <v>49.6</v>
      </c>
      <c r="E113" s="243">
        <f t="shared" si="10"/>
        <v>11</v>
      </c>
      <c r="F113" s="222">
        <f>I_Cout_ss+C113</f>
        <v>0.1684210526</v>
      </c>
      <c r="G113" s="222">
        <f t="shared" si="3"/>
        <v>0.1684210526</v>
      </c>
      <c r="H113" s="222">
        <f t="shared" si="4"/>
        <v>0.1684210526</v>
      </c>
      <c r="I113" s="221">
        <f>(COUTMAX/1000000)*(B113-B112)/H113</f>
        <v>0.002397836538</v>
      </c>
      <c r="J113" s="221">
        <f t="shared" si="9"/>
        <v>0.2469771635</v>
      </c>
      <c r="K113" s="243">
        <f t="shared" si="5"/>
        <v>246.9771635</v>
      </c>
      <c r="L113" s="223">
        <f t="shared" si="6"/>
        <v>1</v>
      </c>
      <c r="M113" s="67">
        <f>1/COUTMAX*(E113/2-C113)*1000</f>
        <v>3.928571429</v>
      </c>
      <c r="N113" s="241">
        <f t="shared" si="7"/>
        <v>0.0001164940828</v>
      </c>
      <c r="O113" s="67">
        <f t="shared" si="8"/>
        <v>0.04858299595</v>
      </c>
      <c r="P113" s="67">
        <f>(A113-B113)*(I_Cout_ss*$Q$2+C113)</f>
        <v>0.06680161943</v>
      </c>
      <c r="Q113" s="67">
        <f>(A113-B113)*(I_Cout_ss*$R$2+C113)</f>
        <v>0.03036437247</v>
      </c>
      <c r="R113" s="67"/>
      <c r="S113" s="67"/>
      <c r="T113" s="67"/>
      <c r="U113" s="67"/>
      <c r="V113" s="67"/>
      <c r="W113" s="67"/>
      <c r="X113" s="67"/>
      <c r="Y113" s="67"/>
      <c r="Z113" s="67"/>
      <c r="AA113" s="67"/>
      <c r="AB113" s="67"/>
      <c r="AC113" s="67"/>
    </row>
    <row r="114" ht="12.0" customHeight="1">
      <c r="A114" s="67">
        <f>VINMAX</f>
        <v>30</v>
      </c>
      <c r="B114" s="244">
        <f>VINMAX*((ROW()-10)/104)</f>
        <v>30</v>
      </c>
      <c r="C114" s="222">
        <f t="shared" si="1"/>
        <v>0</v>
      </c>
      <c r="D114" s="224">
        <f>B2</f>
        <v>49.6</v>
      </c>
      <c r="E114" s="243">
        <f t="shared" si="10"/>
        <v>11</v>
      </c>
      <c r="F114" s="222">
        <f>I_Cout_ss+C114</f>
        <v>0.1684210526</v>
      </c>
      <c r="G114" s="222">
        <f t="shared" si="3"/>
        <v>0.1684210526</v>
      </c>
      <c r="H114" s="222">
        <f t="shared" si="4"/>
        <v>0.1684210526</v>
      </c>
      <c r="I114" s="221">
        <f>(COUTMAX/1000000)*(B114-B113)/H114</f>
        <v>0.002397836538</v>
      </c>
      <c r="J114" s="221">
        <f t="shared" si="9"/>
        <v>0.249375</v>
      </c>
      <c r="K114" s="243">
        <f t="shared" si="5"/>
        <v>249.375</v>
      </c>
      <c r="L114" s="223">
        <f t="shared" si="6"/>
        <v>1</v>
      </c>
      <c r="M114" s="67">
        <f>1/COUTMAX*(E114/2-C114)*1000</f>
        <v>3.928571429</v>
      </c>
      <c r="N114" s="241">
        <f t="shared" si="7"/>
        <v>0</v>
      </c>
      <c r="O114" s="67">
        <f t="shared" si="8"/>
        <v>0</v>
      </c>
      <c r="P114" s="67">
        <f>(A114-B114)*(I_Cout_ss*$Q$2+C114)</f>
        <v>0</v>
      </c>
      <c r="Q114" s="67">
        <f>(A114-B114)*(I_Cout_ss*$R$2+C114)</f>
        <v>0</v>
      </c>
      <c r="R114" s="67"/>
      <c r="S114" s="67"/>
      <c r="T114" s="67"/>
      <c r="U114" s="67"/>
      <c r="V114" s="67"/>
      <c r="W114" s="67"/>
      <c r="X114" s="67"/>
      <c r="Y114" s="67"/>
      <c r="Z114" s="67"/>
      <c r="AA114" s="67"/>
      <c r="AB114" s="67"/>
      <c r="AC114" s="67"/>
    </row>
    <row r="115" ht="12.0" customHeight="1">
      <c r="A115" s="67"/>
      <c r="B115" s="67"/>
      <c r="C115" s="67"/>
      <c r="D115" s="67"/>
      <c r="E115" s="67"/>
      <c r="F115" s="67"/>
      <c r="G115" s="67"/>
      <c r="H115" s="67"/>
      <c r="I115" s="67"/>
      <c r="J115" s="67"/>
      <c r="K115" s="240">
        <f>K114+0.5</f>
        <v>249.875</v>
      </c>
      <c r="L115" s="67"/>
      <c r="M115" s="67"/>
      <c r="N115" s="67">
        <v>0.0</v>
      </c>
      <c r="O115" s="67">
        <v>0.0</v>
      </c>
      <c r="P115" s="67"/>
      <c r="Q115" s="67"/>
      <c r="R115" s="67"/>
      <c r="S115" s="67"/>
      <c r="T115" s="67"/>
      <c r="U115" s="67"/>
      <c r="V115" s="67"/>
      <c r="W115" s="67"/>
      <c r="X115" s="67"/>
      <c r="Y115" s="67"/>
      <c r="Z115" s="67"/>
      <c r="AA115" s="67"/>
      <c r="AB115" s="67"/>
      <c r="AC115" s="67"/>
    </row>
    <row r="116" ht="12.0"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ht="12.0"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row>
    <row r="118" ht="12.0"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row>
    <row r="119" ht="12.0"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row>
    <row r="120" ht="12.0"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row>
    <row r="121" ht="12.0"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ht="12.0"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row>
    <row r="123" ht="12.0"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ht="12.0"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row>
    <row r="125" ht="12.0"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ht="12.0"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row>
    <row r="127" ht="12.0"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ht="12.0"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ht="12.0"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ht="12.0"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row>
    <row r="131" ht="12.0"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ht="12.0"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ht="12.0"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ht="12.0"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ht="12.0"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row>
    <row r="136" ht="12.0"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row>
    <row r="137" ht="12.0"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row>
    <row r="138" ht="12.0"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row>
    <row r="139" ht="12.0"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row>
    <row r="140" ht="12.0"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row>
    <row r="141" ht="12.0"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row>
    <row r="142" ht="12.0"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row>
    <row r="143" ht="12.0"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row>
    <row r="144" ht="12.0"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row>
    <row r="145" ht="12.0"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row>
    <row r="146" ht="12.0"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row>
    <row r="147" ht="12.0"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row>
    <row r="148" ht="12.0"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row>
    <row r="149" ht="12.0"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row>
    <row r="150" ht="12.0"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row>
    <row r="151" ht="12.0"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row>
    <row r="152" ht="12.0"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row>
    <row r="153" ht="12.0"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row>
    <row r="154" ht="12.0"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row>
    <row r="155" ht="12.0"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row>
    <row r="156" ht="12.0"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row>
    <row r="157" ht="12.0"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row>
    <row r="158" ht="12.0"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row>
    <row r="159" ht="12.0"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row>
    <row r="160" ht="12.0"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row>
    <row r="161" ht="12.0"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row>
    <row r="162" ht="12.0"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row>
    <row r="163" ht="12.0"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row>
    <row r="164" ht="12.0"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row>
    <row r="165" ht="12.0"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row>
    <row r="166" ht="12.0"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row>
    <row r="167" ht="12.0"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row>
    <row r="168" ht="12.0"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row>
    <row r="169" ht="12.0"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row>
    <row r="170" ht="12.0"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row>
    <row r="171" ht="12.0"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row>
    <row r="172" ht="12.0"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row>
    <row r="173" ht="12.0"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row>
    <row r="174" ht="12.0"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row>
    <row r="175" ht="12.0"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row>
    <row r="176" ht="12.0"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row>
    <row r="177" ht="12.0"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row>
    <row r="178" ht="12.0"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row>
    <row r="179" ht="12.0"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row>
    <row r="180" ht="12.0"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row>
    <row r="181" ht="12.0"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row>
    <row r="182" ht="12.0"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row>
    <row r="183" ht="12.0"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row>
    <row r="184" ht="12.0"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row>
    <row r="185" ht="12.0"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row>
    <row r="186" ht="12.0"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row>
    <row r="187" ht="12.0"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row>
    <row r="188" ht="12.0"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row>
    <row r="189" ht="12.0"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row>
    <row r="190" ht="12.0"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row>
    <row r="191" ht="12.0"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row>
    <row r="192" ht="12.0"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row>
    <row r="193" ht="12.0"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row>
    <row r="194" ht="12.0"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row>
    <row r="195" ht="12.0"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row>
    <row r="196" ht="12.0"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row>
    <row r="197" ht="12.0"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row>
    <row r="198" ht="12.0"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row>
    <row r="199" ht="12.0"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row>
    <row r="200" ht="12.0"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row>
    <row r="201" ht="12.0"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row>
    <row r="202" ht="12.0"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row>
    <row r="203" ht="12.0"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row>
    <row r="204" ht="12.0"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row>
    <row r="205" ht="12.0"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row>
    <row r="206" ht="12.0"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row>
    <row r="207" ht="12.0"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row>
    <row r="208" ht="12.0"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row>
    <row r="209" ht="12.0"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row>
    <row r="210" ht="12.0"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row>
    <row r="211" ht="12.0"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row>
    <row r="212" ht="12.0"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row>
    <row r="213" ht="12.0"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row>
    <row r="214" ht="12.0"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row>
    <row r="215" ht="12.0"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row>
    <row r="216" ht="12.0"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row>
    <row r="217" ht="12.0"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row>
    <row r="218" ht="12.0"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row>
    <row r="219" ht="12.0"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row>
    <row r="220" ht="12.0"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row>
    <row r="221" ht="12.0"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row>
    <row r="222" ht="12.0"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row>
    <row r="223" ht="12.0"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row>
    <row r="224" ht="12.0"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row>
    <row r="225" ht="12.0"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row>
    <row r="226" ht="12.0"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row>
    <row r="227" ht="12.0"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row>
    <row r="228" ht="12.0"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row>
    <row r="229" ht="12.0"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row>
    <row r="230" ht="12.0"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row>
    <row r="231" ht="12.0"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row>
    <row r="232" ht="12.0"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row>
    <row r="233" ht="12.0"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row>
    <row r="234" ht="12.0"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row>
    <row r="235" ht="12.0"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row>
    <row r="236" ht="12.0"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row>
    <row r="237" ht="12.0"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row>
    <row r="238" ht="12.0"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row>
    <row r="239" ht="12.0"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row>
    <row r="240" ht="12.0"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row>
    <row r="241" ht="12.0"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row>
    <row r="242" ht="12.0"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row>
    <row r="243" ht="12.0"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row>
    <row r="244" ht="12.0"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row>
    <row r="245" ht="12.0"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row>
    <row r="246" ht="12.0"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row>
    <row r="247" ht="12.0"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row>
    <row r="248" ht="12.0"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row>
    <row r="249" ht="12.0"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row>
    <row r="250" ht="12.0"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row>
    <row r="251" ht="12.0"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row>
    <row r="252" ht="12.0"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row>
    <row r="253" ht="12.0"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row>
    <row r="254" ht="12.0"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row>
    <row r="255" ht="12.0"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row>
    <row r="256" ht="12.0"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row>
    <row r="257" ht="12.0"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row>
    <row r="258" ht="12.0"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row>
    <row r="259" ht="12.0"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row>
    <row r="260" ht="12.0"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row>
    <row r="261" ht="12.0"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row>
    <row r="262" ht="12.0"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row>
    <row r="263" ht="12.0"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row>
    <row r="264" ht="12.0"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row>
    <row r="265" ht="12.0"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row>
    <row r="266" ht="12.0"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row>
    <row r="267" ht="12.0"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row>
    <row r="268" ht="12.0"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row>
    <row r="269" ht="12.0"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row>
    <row r="270" ht="12.0"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row>
    <row r="271" ht="12.0"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row>
    <row r="272" ht="12.0"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row>
    <row r="273" ht="12.0"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row>
    <row r="274" ht="12.0"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row>
    <row r="275" ht="12.0"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row>
    <row r="276" ht="12.0"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row>
    <row r="277" ht="12.0"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row>
    <row r="278" ht="12.0"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row>
    <row r="279" ht="12.0"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row>
    <row r="280" ht="12.0"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row>
    <row r="281" ht="12.0"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row>
    <row r="282" ht="12.0"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row>
    <row r="283" ht="12.0"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row>
    <row r="284" ht="12.0"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row>
    <row r="285" ht="12.0"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row>
    <row r="286" ht="12.0"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row>
    <row r="287" ht="12.0"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row>
    <row r="288" ht="12.0"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row>
    <row r="289" ht="12.0"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row>
    <row r="290" ht="12.0"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row>
    <row r="291" ht="12.0"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row>
    <row r="292" ht="12.0"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row>
    <row r="293" ht="12.0"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row>
    <row r="294" ht="12.0"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row>
    <row r="295" ht="12.0"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row>
    <row r="296" ht="12.0"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row>
    <row r="297" ht="12.0"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row>
    <row r="298" ht="12.0"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row>
    <row r="299" ht="12.0"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row>
    <row r="300" ht="12.0"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row>
    <row r="301" ht="12.0"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row>
    <row r="302" ht="12.0"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row>
    <row r="303" ht="12.0"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row>
    <row r="304" ht="12.0"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row>
    <row r="305" ht="12.0"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row>
    <row r="306" ht="12.0"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row>
    <row r="307" ht="12.0"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row>
    <row r="308" ht="12.0"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row>
    <row r="309" ht="12.0"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row>
    <row r="310" ht="12.0"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row>
    <row r="311" ht="12.0"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row>
    <row r="312" ht="12.0"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row>
    <row r="313" ht="12.0"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row>
    <row r="314" ht="12.0"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row>
    <row r="315" ht="12.0"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row>
    <row r="316" ht="12.0"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row>
    <row r="317" ht="12.0"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row>
    <row r="318" ht="12.0"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row>
    <row r="319" ht="12.0"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row>
    <row r="320" ht="12.0"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row>
    <row r="321" ht="12.0"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row>
    <row r="322" ht="12.0"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row>
    <row r="323" ht="12.0"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row>
    <row r="324" ht="12.0"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row>
    <row r="325" ht="12.0"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row>
    <row r="326" ht="12.0"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row>
    <row r="327" ht="12.0"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row>
    <row r="328" ht="12.0"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row>
    <row r="329" ht="12.0"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row>
    <row r="330" ht="12.0"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row>
    <row r="331" ht="12.0"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row>
    <row r="332" ht="12.0"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row>
    <row r="333" ht="12.0"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row>
    <row r="334" ht="12.0"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row>
    <row r="335" ht="12.0"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row>
    <row r="336" ht="12.0"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row>
    <row r="337" ht="12.0"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row>
    <row r="338" ht="12.0"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row>
    <row r="339" ht="12.0"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row>
    <row r="340" ht="12.0"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row>
    <row r="341" ht="12.0"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row>
    <row r="342" ht="12.0"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row>
    <row r="343" ht="12.0"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row>
    <row r="344" ht="12.0"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row>
    <row r="345" ht="12.0"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row>
    <row r="346" ht="12.0"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row>
    <row r="347" ht="12.0"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row>
    <row r="348" ht="12.0"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row>
    <row r="349" ht="12.0"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row>
    <row r="350" ht="12.0"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row>
    <row r="351" ht="12.0"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row>
    <row r="352" ht="12.0"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row>
    <row r="353" ht="12.0"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row>
    <row r="354" ht="12.0"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row>
    <row r="355" ht="12.0"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row>
    <row r="356" ht="12.0"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row>
    <row r="357" ht="12.0"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row>
    <row r="358" ht="12.0"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row>
    <row r="359" ht="12.0"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row>
    <row r="360" ht="12.0"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row>
    <row r="361" ht="12.0"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row>
    <row r="362" ht="12.0"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row>
    <row r="363" ht="12.0"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row>
    <row r="364" ht="12.0"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row>
    <row r="365" ht="12.0"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row>
    <row r="366" ht="12.0"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row>
    <row r="367" ht="12.0"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row>
    <row r="368" ht="12.0"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row>
    <row r="369" ht="12.0"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row>
    <row r="370" ht="12.0"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row>
    <row r="371" ht="12.0"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row>
    <row r="372" ht="12.0"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row>
    <row r="373" ht="12.0"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row>
    <row r="374" ht="12.0"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row>
    <row r="375" ht="12.0"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row>
    <row r="376" ht="12.0"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row>
    <row r="377" ht="12.0"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row>
    <row r="378" ht="12.0"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row>
    <row r="379" ht="12.0"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row>
    <row r="380" ht="12.0"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row>
    <row r="381" ht="12.0"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row>
    <row r="382" ht="12.0"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row>
    <row r="383" ht="12.0"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row>
    <row r="384" ht="12.0"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row>
    <row r="385" ht="12.0"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row>
    <row r="386" ht="12.0"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row>
    <row r="387" ht="12.0"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row>
    <row r="388" ht="12.0"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row>
    <row r="389" ht="12.0"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row>
    <row r="390" ht="12.0"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row>
    <row r="391" ht="12.0"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row>
    <row r="392" ht="12.0"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row>
    <row r="393" ht="12.0"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row>
    <row r="394" ht="12.0"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row>
    <row r="395" ht="12.0"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row>
    <row r="396" ht="12.0"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row>
    <row r="397" ht="12.0"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row>
    <row r="398" ht="12.0"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row>
    <row r="399" ht="12.0"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row>
    <row r="400" ht="12.0"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row>
    <row r="401" ht="12.0"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row>
    <row r="402" ht="12.0"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row>
    <row r="403" ht="12.0"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row>
    <row r="404" ht="12.0"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row>
    <row r="405" ht="12.0"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row>
    <row r="406" ht="12.0"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row>
    <row r="407" ht="12.0"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row>
    <row r="408" ht="12.0"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row>
    <row r="409" ht="12.0"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row>
    <row r="410" ht="12.0"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row>
    <row r="411" ht="12.0"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row>
    <row r="412" ht="12.0"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row>
    <row r="413" ht="12.0"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row>
    <row r="414" ht="12.0"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row>
    <row r="415" ht="12.0"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row>
    <row r="416" ht="12.0"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row>
    <row r="417" ht="12.0"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row>
    <row r="418" ht="12.0"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row>
    <row r="419" ht="12.0"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row>
    <row r="420" ht="12.0"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row>
    <row r="421" ht="12.0"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row>
    <row r="422" ht="12.0"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row>
    <row r="423" ht="12.0"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row>
    <row r="424" ht="12.0"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row>
    <row r="425" ht="12.0"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row>
    <row r="426" ht="12.0"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row>
    <row r="427" ht="12.0"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row>
    <row r="428" ht="12.0"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row>
    <row r="429" ht="12.0"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row>
    <row r="430" ht="12.0"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row>
    <row r="431" ht="12.0"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row>
    <row r="432" ht="12.0"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row>
    <row r="433" ht="12.0"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row>
    <row r="434" ht="12.0"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row>
    <row r="435" ht="12.0"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row>
    <row r="436" ht="12.0"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row>
    <row r="437" ht="12.0"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row>
    <row r="438" ht="12.0"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row>
    <row r="439" ht="12.0"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row>
    <row r="440" ht="12.0"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row>
    <row r="441" ht="12.0"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row>
    <row r="442" ht="12.0"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row>
    <row r="443" ht="12.0"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row>
    <row r="444" ht="12.0"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row>
    <row r="445" ht="12.0"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row>
    <row r="446" ht="12.0"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row>
    <row r="447" ht="12.0"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row>
    <row r="448" ht="12.0"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row>
    <row r="449" ht="12.0"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row>
    <row r="450" ht="12.0"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row>
    <row r="451" ht="12.0"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row>
    <row r="452" ht="12.0"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row>
    <row r="453" ht="12.0"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row>
    <row r="454" ht="12.0"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row>
    <row r="455" ht="12.0"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row>
    <row r="456" ht="12.0"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row>
    <row r="457" ht="12.0"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row>
    <row r="458" ht="12.0"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row>
    <row r="459" ht="12.0"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row>
    <row r="460" ht="12.0"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row>
    <row r="461" ht="12.0"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row>
    <row r="462" ht="12.0"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row>
    <row r="463" ht="12.0"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row>
    <row r="464" ht="12.0"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row>
    <row r="465" ht="12.0"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row>
    <row r="466" ht="12.0"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row>
    <row r="467" ht="12.0"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row>
    <row r="468" ht="12.0"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row>
    <row r="469" ht="12.0"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row>
    <row r="470" ht="12.0"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row>
    <row r="471" ht="12.0"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row>
    <row r="472" ht="12.0"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row>
    <row r="473" ht="12.0"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row>
    <row r="474" ht="12.0"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row>
    <row r="475" ht="12.0"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row>
    <row r="476" ht="12.0"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row>
    <row r="477" ht="12.0"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row>
    <row r="478" ht="12.0"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row>
    <row r="479" ht="12.0"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row>
    <row r="480" ht="12.0"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row>
    <row r="481" ht="12.0"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row>
    <row r="482" ht="12.0"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row>
    <row r="483" ht="12.0"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row>
    <row r="484" ht="12.0"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row>
    <row r="485" ht="12.0"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row>
    <row r="486" ht="12.0"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row>
    <row r="487" ht="12.0"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row>
    <row r="488" ht="12.0"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row>
    <row r="489" ht="12.0"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row>
    <row r="490" ht="12.0"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row>
    <row r="491" ht="12.0"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row>
    <row r="492" ht="12.0"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row>
    <row r="493" ht="12.0"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row>
    <row r="494" ht="12.0"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row>
    <row r="495" ht="12.0"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row>
    <row r="496" ht="12.0"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row>
    <row r="497" ht="12.0"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row>
    <row r="498" ht="12.0"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row>
    <row r="499" ht="12.0"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row>
    <row r="500" ht="12.0"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row>
    <row r="501" ht="12.0"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row>
    <row r="502" ht="12.0"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row>
    <row r="503" ht="12.0"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row>
    <row r="504" ht="12.0"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row>
    <row r="505" ht="12.0"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row>
    <row r="506" ht="12.0"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row>
    <row r="507" ht="12.0"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row>
    <row r="508" ht="12.0"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row>
    <row r="509" ht="12.0"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row>
    <row r="510" ht="12.0"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row>
    <row r="511" ht="12.0"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row>
    <row r="512" ht="12.0"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row>
    <row r="513" ht="12.0"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row>
    <row r="514" ht="12.0"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row>
    <row r="515" ht="12.0"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row>
    <row r="516" ht="12.0"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row>
    <row r="517" ht="12.0"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row>
    <row r="518" ht="12.0"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row>
    <row r="519" ht="12.0"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row>
    <row r="520" ht="12.0"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row>
    <row r="521" ht="12.0"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row>
    <row r="522" ht="12.0"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row>
    <row r="523" ht="12.0"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row>
    <row r="524" ht="12.0"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row>
    <row r="525" ht="12.0"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row>
    <row r="526" ht="12.0"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row>
    <row r="527" ht="12.0"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row>
    <row r="528" ht="12.0"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row>
    <row r="529" ht="12.0"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row>
    <row r="530" ht="12.0"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row>
    <row r="531" ht="12.0"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row>
    <row r="532" ht="12.0"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row>
    <row r="533" ht="12.0"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row>
    <row r="534" ht="12.0"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row>
    <row r="535" ht="12.0"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row>
    <row r="536" ht="12.0"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row>
    <row r="537" ht="12.0"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row>
    <row r="538" ht="12.0"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row>
    <row r="539" ht="12.0"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row>
    <row r="540" ht="12.0"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row>
    <row r="541" ht="12.0"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row>
    <row r="542" ht="12.0"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row>
    <row r="543" ht="12.0"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row>
    <row r="544" ht="12.0"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row>
    <row r="545" ht="12.0"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row>
    <row r="546" ht="12.0"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row>
    <row r="547" ht="12.0"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row>
    <row r="548" ht="12.0"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row>
    <row r="549" ht="12.0"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row>
    <row r="550" ht="12.0"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row>
    <row r="551" ht="12.0"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row>
    <row r="552" ht="12.0"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row>
    <row r="553" ht="12.0"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row>
    <row r="554" ht="12.0"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row>
    <row r="555" ht="12.0"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row>
    <row r="556" ht="12.0"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row>
    <row r="557" ht="12.0"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row>
    <row r="558" ht="12.0"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row>
    <row r="559" ht="12.0"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row>
    <row r="560" ht="12.0"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row>
    <row r="561" ht="12.0"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row>
    <row r="562" ht="12.0"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row>
    <row r="563" ht="12.0"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row>
    <row r="564" ht="12.0"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row>
    <row r="565" ht="12.0"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row>
    <row r="566" ht="12.0"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row>
    <row r="567" ht="12.0"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row>
    <row r="568" ht="12.0"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row>
    <row r="569" ht="12.0"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row>
    <row r="570" ht="12.0"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row>
    <row r="571" ht="12.0"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row>
    <row r="572" ht="12.0"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row>
    <row r="573" ht="12.0"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row>
    <row r="574" ht="12.0"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row>
    <row r="575" ht="12.0"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row>
    <row r="576" ht="12.0"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row>
    <row r="577" ht="12.0"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row>
    <row r="578" ht="12.0"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row>
    <row r="579" ht="12.0"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row>
    <row r="580" ht="12.0"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row>
    <row r="581" ht="12.0"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row>
    <row r="582" ht="12.0"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row>
    <row r="583" ht="12.0"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row>
    <row r="584" ht="12.0"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row>
    <row r="585" ht="12.0"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row>
    <row r="586" ht="12.0"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row>
    <row r="587" ht="12.0"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row>
    <row r="588" ht="12.0"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row>
    <row r="589" ht="12.0"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row>
    <row r="590" ht="12.0"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row>
    <row r="591" ht="12.0"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row>
    <row r="592" ht="12.0"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row>
    <row r="593" ht="12.0"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row>
    <row r="594" ht="12.0"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row>
    <row r="595" ht="12.0"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row>
    <row r="596" ht="12.0"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row>
    <row r="597" ht="12.0"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row>
    <row r="598" ht="12.0"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row>
    <row r="599" ht="12.0"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row>
    <row r="600" ht="12.0"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row>
    <row r="601" ht="12.0"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row>
    <row r="602" ht="12.0"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row>
    <row r="603" ht="12.0"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row>
    <row r="604" ht="12.0"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row>
    <row r="605" ht="12.0"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row>
    <row r="606" ht="12.0"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row>
    <row r="607" ht="12.0"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row>
    <row r="608" ht="12.0"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row>
    <row r="609" ht="12.0"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row>
    <row r="610" ht="12.0"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row>
    <row r="611" ht="12.0"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row>
    <row r="612" ht="12.0"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row>
    <row r="613" ht="12.0"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row>
    <row r="614" ht="12.0"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row>
    <row r="615" ht="12.0"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row>
    <row r="616" ht="12.0"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row>
    <row r="617" ht="12.0"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row>
    <row r="618" ht="12.0"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row>
    <row r="619" ht="12.0"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row>
    <row r="620" ht="12.0"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row>
    <row r="621" ht="12.0"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row>
    <row r="622" ht="12.0"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row>
    <row r="623" ht="12.0"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row>
    <row r="624" ht="12.0"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row>
    <row r="625" ht="12.0"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row>
    <row r="626" ht="12.0"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row>
    <row r="627" ht="12.0"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row>
    <row r="628" ht="12.0"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row>
    <row r="629" ht="12.0"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row>
    <row r="630" ht="12.0"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row>
    <row r="631" ht="12.0"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row>
    <row r="632" ht="12.0"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row>
    <row r="633" ht="12.0"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row>
    <row r="634" ht="12.0"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row>
    <row r="635" ht="12.0"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row>
    <row r="636" ht="12.0"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row>
    <row r="637" ht="12.0"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row>
    <row r="638" ht="12.0"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row>
    <row r="639" ht="12.0"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row>
    <row r="640" ht="12.0"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row>
    <row r="641" ht="12.0"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row>
    <row r="642" ht="12.0"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row>
    <row r="643" ht="12.0"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row>
    <row r="644" ht="12.0"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row>
    <row r="645" ht="12.0"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row>
    <row r="646" ht="12.0"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row>
    <row r="647" ht="12.0"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row>
    <row r="648" ht="12.0"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row>
    <row r="649" ht="12.0"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row>
    <row r="650" ht="12.0"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row>
    <row r="651" ht="12.0"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row>
    <row r="652" ht="12.0"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row>
    <row r="653" ht="12.0"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row>
    <row r="654" ht="12.0"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row>
    <row r="655" ht="12.0"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row>
    <row r="656" ht="12.0"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row>
    <row r="657" ht="12.0"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row>
    <row r="658" ht="12.0"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row>
    <row r="659" ht="12.0"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row>
    <row r="660" ht="12.0"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row>
    <row r="661" ht="12.0"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row>
    <row r="662" ht="12.0"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row>
    <row r="663" ht="12.0"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row>
    <row r="664" ht="12.0"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row>
    <row r="665" ht="12.0"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row>
    <row r="666" ht="12.0"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row>
    <row r="667" ht="12.0"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row>
    <row r="668" ht="12.0"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row>
    <row r="669" ht="12.0"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row>
    <row r="670" ht="12.0"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row>
    <row r="671" ht="12.0"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row>
    <row r="672" ht="12.0"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row>
    <row r="673" ht="12.0"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row>
    <row r="674" ht="12.0"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row>
    <row r="675" ht="12.0"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row>
    <row r="676" ht="12.0"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row>
    <row r="677" ht="12.0"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row>
    <row r="678" ht="12.0"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row>
    <row r="679" ht="12.0"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row>
    <row r="680" ht="12.0"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row>
    <row r="681" ht="12.0"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row>
    <row r="682" ht="12.0"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row>
    <row r="683" ht="12.0"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row>
    <row r="684" ht="12.0"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row>
    <row r="685" ht="12.0"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row>
    <row r="686" ht="12.0"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row>
    <row r="687" ht="12.0"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row>
    <row r="688" ht="12.0"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row>
    <row r="689" ht="12.0"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row>
    <row r="690" ht="12.0"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row>
    <row r="691" ht="12.0"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row>
    <row r="692" ht="12.0"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row>
    <row r="693" ht="12.0"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row>
    <row r="694" ht="12.0"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row>
    <row r="695" ht="12.0"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row>
    <row r="696" ht="12.0"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row>
    <row r="697" ht="12.0"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row>
    <row r="698" ht="12.0"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row>
    <row r="699" ht="12.0"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row>
    <row r="700" ht="12.0"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row>
    <row r="701" ht="12.0"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row>
    <row r="702" ht="12.0"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row>
    <row r="703" ht="12.0"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row>
    <row r="704" ht="12.0"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row>
    <row r="705" ht="12.0"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row>
    <row r="706" ht="12.0"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row>
    <row r="707" ht="12.0"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row>
    <row r="708" ht="12.0"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row>
    <row r="709" ht="12.0"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row>
    <row r="710" ht="12.0"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row>
    <row r="711" ht="12.0"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row>
    <row r="712" ht="12.0"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row>
    <row r="713" ht="12.0"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row>
    <row r="714" ht="12.0"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row>
    <row r="715" ht="12.0"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row>
    <row r="716" ht="12.0"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row>
    <row r="717" ht="12.0"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row>
    <row r="718" ht="12.0"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row>
    <row r="719" ht="12.0"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row>
    <row r="720" ht="12.0"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row>
    <row r="721" ht="12.0"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row>
    <row r="722" ht="12.0"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row>
    <row r="723" ht="12.0"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row>
    <row r="724" ht="12.0"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row>
    <row r="725" ht="12.0"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row>
    <row r="726" ht="12.0"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row>
    <row r="727" ht="12.0"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row>
    <row r="728" ht="12.0"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row>
    <row r="729" ht="12.0"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row>
    <row r="730" ht="12.0"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row>
    <row r="731" ht="12.0"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row>
    <row r="732" ht="12.0"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row>
    <row r="733" ht="12.0"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row>
    <row r="734" ht="12.0"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row>
    <row r="735" ht="12.0"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row>
    <row r="736" ht="12.0"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row>
    <row r="737" ht="12.0"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row>
    <row r="738" ht="12.0"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row>
    <row r="739" ht="12.0"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row>
    <row r="740" ht="12.0"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row>
    <row r="741" ht="12.0"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row>
    <row r="742" ht="12.0"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row>
    <row r="743" ht="12.0"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row>
    <row r="744" ht="12.0"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row>
    <row r="745" ht="12.0"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row>
    <row r="746" ht="12.0"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row>
    <row r="747" ht="12.0"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row>
    <row r="748" ht="12.0"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row>
    <row r="749" ht="12.0"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row>
    <row r="750" ht="12.0"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row>
    <row r="751" ht="12.0"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row>
    <row r="752" ht="12.0"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row>
    <row r="753" ht="12.0"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row>
    <row r="754" ht="12.0"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row>
    <row r="755" ht="12.0"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row>
    <row r="756" ht="12.0"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row>
    <row r="757" ht="12.0"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row>
    <row r="758" ht="12.0"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row>
    <row r="759" ht="12.0"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row>
    <row r="760" ht="12.0"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row>
    <row r="761" ht="12.0"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row>
    <row r="762" ht="12.0"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row>
    <row r="763" ht="12.0"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row>
    <row r="764" ht="12.0"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row>
    <row r="765" ht="12.0"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row>
    <row r="766" ht="12.0"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row>
    <row r="767" ht="12.0"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row>
    <row r="768" ht="12.0"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row>
    <row r="769" ht="12.0"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row>
    <row r="770" ht="12.0"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row>
    <row r="771" ht="12.0"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row>
    <row r="772" ht="12.0"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row>
    <row r="773" ht="12.0"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row>
    <row r="774" ht="12.0"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row>
    <row r="775" ht="12.0"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row>
    <row r="776" ht="12.0"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row>
    <row r="777" ht="12.0"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row>
    <row r="778" ht="12.0"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row>
    <row r="779" ht="12.0"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row>
    <row r="780" ht="12.0"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row>
    <row r="781" ht="12.0"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row>
    <row r="782" ht="12.0"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row>
    <row r="783" ht="12.0"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row>
    <row r="784" ht="12.0"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row>
    <row r="785" ht="12.0"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row>
    <row r="786" ht="12.0"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row>
    <row r="787" ht="12.0"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row>
    <row r="788" ht="12.0"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row>
    <row r="789" ht="12.0"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row>
    <row r="790" ht="12.0"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row>
    <row r="791" ht="12.0"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row>
    <row r="792" ht="12.0"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row>
    <row r="793" ht="12.0"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row>
    <row r="794" ht="12.0"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row>
    <row r="795" ht="12.0"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row>
    <row r="796" ht="12.0"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row>
    <row r="797" ht="12.0"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row>
    <row r="798" ht="12.0"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row>
    <row r="799" ht="12.0"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row>
    <row r="800" ht="12.0"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row>
    <row r="801" ht="12.0"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row>
    <row r="802" ht="12.0"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row>
    <row r="803" ht="12.0"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row>
    <row r="804" ht="12.0"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row>
    <row r="805" ht="12.0"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row>
    <row r="806" ht="12.0"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row>
    <row r="807" ht="12.0"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row>
    <row r="808" ht="12.0"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row>
    <row r="809" ht="12.0"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row>
    <row r="810" ht="12.0"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row>
    <row r="811" ht="12.0"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row>
    <row r="812" ht="12.0"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row>
    <row r="813" ht="12.0"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row>
    <row r="814" ht="12.0"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row>
    <row r="815" ht="12.0"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row>
    <row r="816" ht="12.0"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row>
    <row r="817" ht="12.0"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row>
    <row r="818" ht="12.0"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row>
    <row r="819" ht="12.0"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row>
    <row r="820" ht="12.0"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row>
    <row r="821" ht="12.0"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row>
    <row r="822" ht="12.0"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row>
    <row r="823" ht="12.0"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row>
    <row r="824" ht="12.0"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row>
    <row r="825" ht="12.0"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row>
    <row r="826" ht="12.0"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row>
    <row r="827" ht="12.0"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row>
    <row r="828" ht="12.0"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row>
    <row r="829" ht="12.0"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row>
    <row r="830" ht="12.0"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row>
    <row r="831" ht="12.0"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row>
    <row r="832" ht="12.0"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row>
    <row r="833" ht="12.0"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row>
    <row r="834" ht="12.0"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row>
    <row r="835" ht="12.0"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row>
    <row r="836" ht="12.0"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row>
    <row r="837" ht="12.0"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row>
    <row r="838" ht="12.0"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row>
    <row r="839" ht="12.0"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row>
    <row r="840" ht="12.0"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row>
    <row r="841" ht="12.0"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row>
    <row r="842" ht="12.0"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row>
    <row r="843" ht="12.0"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row>
    <row r="844" ht="12.0"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row>
    <row r="845" ht="12.0"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row>
    <row r="846" ht="12.0"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row>
    <row r="847" ht="12.0"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row>
    <row r="848" ht="12.0"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row>
    <row r="849" ht="12.0"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row>
    <row r="850" ht="12.0"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row>
    <row r="851" ht="12.0"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row>
    <row r="852" ht="12.0"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row>
    <row r="853" ht="12.0"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row>
    <row r="854" ht="12.0"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row>
    <row r="855" ht="12.0"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row>
    <row r="856" ht="12.0"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row>
    <row r="857" ht="12.0"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row>
    <row r="858" ht="12.0"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row>
    <row r="859" ht="12.0"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row>
    <row r="860" ht="12.0"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row>
    <row r="861" ht="12.0"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row>
    <row r="862" ht="12.0"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row>
    <row r="863" ht="12.0"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row>
    <row r="864" ht="12.0"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row>
    <row r="865" ht="12.0"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row>
    <row r="866" ht="12.0"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row>
    <row r="867" ht="12.0"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row>
    <row r="868" ht="12.0"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row>
    <row r="869" ht="12.0"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row>
    <row r="870" ht="12.0"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row>
    <row r="871" ht="12.0"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row>
    <row r="872" ht="12.0"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row>
    <row r="873" ht="12.0"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row>
    <row r="874" ht="12.0"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row>
    <row r="875" ht="12.0"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row>
    <row r="876" ht="12.0"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row>
    <row r="877" ht="12.0"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row>
    <row r="878" ht="12.0"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row>
    <row r="879" ht="12.0"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row>
    <row r="880" ht="12.0"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row>
    <row r="881" ht="12.0"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row>
    <row r="882" ht="12.0"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row>
    <row r="883" ht="12.0"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row>
    <row r="884" ht="12.0"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row>
    <row r="885" ht="12.0"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row>
    <row r="886" ht="12.0"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row>
    <row r="887" ht="12.0"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row>
    <row r="888" ht="12.0"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row>
    <row r="889" ht="12.0"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row>
    <row r="890" ht="12.0"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row>
    <row r="891" ht="12.0"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row>
    <row r="892" ht="12.0"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row>
    <row r="893" ht="12.0"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row>
    <row r="894" ht="12.0"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row>
    <row r="895" ht="12.0"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row>
    <row r="896" ht="12.0"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row>
    <row r="897" ht="12.0"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row>
    <row r="898" ht="12.0"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row>
    <row r="899" ht="12.0"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row>
    <row r="900" ht="12.0"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row>
    <row r="901" ht="12.0"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row>
    <row r="902" ht="12.0"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row>
    <row r="903" ht="12.0"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row>
    <row r="904" ht="12.0"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row>
    <row r="905" ht="12.0"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row>
    <row r="906" ht="12.0"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row>
    <row r="907" ht="12.0"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row>
    <row r="908" ht="12.0"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row>
    <row r="909" ht="12.0"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row>
    <row r="910" ht="12.0"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row>
    <row r="911" ht="12.0"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row>
    <row r="912" ht="12.0"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row>
    <row r="913" ht="12.0"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row>
    <row r="914" ht="12.0"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row>
    <row r="915" ht="12.0"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row>
    <row r="916" ht="12.0"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row>
    <row r="917" ht="12.0"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row>
    <row r="918" ht="12.0"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row>
    <row r="919" ht="12.0"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row>
    <row r="920" ht="12.0"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row>
    <row r="921" ht="12.0"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row>
    <row r="922" ht="12.0"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row>
    <row r="923" ht="12.0"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row>
    <row r="924" ht="12.0"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row>
    <row r="925" ht="12.0"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row>
    <row r="926" ht="12.0"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row>
    <row r="927" ht="12.0"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row>
    <row r="928" ht="12.0"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row>
    <row r="929" ht="12.0"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row>
    <row r="930" ht="12.0"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row>
    <row r="931" ht="12.0"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row>
    <row r="932" ht="12.0"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row>
    <row r="933" ht="12.0"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row>
    <row r="934" ht="12.0"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row>
    <row r="935" ht="12.0"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row>
    <row r="936" ht="12.0"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row>
    <row r="937" ht="12.0"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row>
    <row r="938" ht="12.0"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row>
    <row r="939" ht="12.0"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row>
    <row r="940" ht="12.0"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row>
    <row r="941" ht="12.0"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row>
    <row r="942" ht="12.0"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row>
    <row r="943" ht="12.0"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row>
    <row r="944" ht="12.0"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row>
    <row r="945" ht="12.0"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row>
    <row r="946" ht="12.0"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row>
    <row r="947" ht="12.0"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row>
    <row r="948" ht="12.0"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row>
    <row r="949" ht="12.0"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row>
    <row r="950" ht="12.0"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row>
    <row r="951" ht="12.0"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row>
    <row r="952" ht="12.0"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row>
    <row r="953" ht="12.0"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row>
    <row r="954" ht="12.0"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row>
    <row r="955" ht="12.0"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row>
    <row r="956" ht="12.0"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row>
    <row r="957" ht="12.0"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row>
    <row r="958" ht="12.0"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row>
    <row r="959" ht="12.0"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row>
    <row r="960" ht="12.0"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row>
    <row r="961" ht="12.0"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row>
    <row r="962" ht="12.0"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row>
    <row r="963" ht="12.0"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row>
    <row r="964" ht="12.0"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row>
    <row r="965" ht="12.0"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row>
    <row r="966" ht="12.0"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row>
    <row r="967" ht="12.0"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row>
    <row r="968" ht="12.0"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row>
    <row r="969" ht="12.0"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row>
    <row r="970" ht="12.0"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row>
    <row r="971" ht="12.0"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row>
    <row r="972" ht="12.0"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row>
    <row r="973" ht="12.0"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row>
    <row r="974" ht="12.0"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row>
    <row r="975" ht="12.0"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row>
    <row r="976" ht="12.0"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row>
    <row r="977" ht="12.0"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row>
    <row r="978" ht="12.0"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row>
    <row r="979" ht="12.0"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row>
    <row r="980" ht="12.0"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row>
    <row r="981" ht="12.0"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row>
    <row r="982" ht="12.0"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row>
    <row r="983" ht="12.0"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row>
    <row r="984" ht="12.0"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c r="AA984" s="67"/>
      <c r="AB984" s="67"/>
      <c r="AC984" s="67"/>
    </row>
    <row r="985" ht="12.0"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c r="AA985" s="67"/>
      <c r="AB985" s="67"/>
      <c r="AC985" s="67"/>
    </row>
    <row r="986" ht="12.0"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c r="AA986" s="67"/>
      <c r="AB986" s="67"/>
      <c r="AC986" s="67"/>
    </row>
    <row r="987" ht="12.0"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c r="AA987" s="67"/>
      <c r="AB987" s="67"/>
      <c r="AC987" s="67"/>
    </row>
    <row r="988" ht="12.0"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c r="AA988" s="67"/>
      <c r="AB988" s="67"/>
      <c r="AC988" s="67"/>
    </row>
    <row r="989" ht="12.0"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c r="AA989" s="67"/>
      <c r="AB989" s="67"/>
      <c r="AC989" s="67"/>
    </row>
    <row r="990" ht="12.0"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c r="AA990" s="67"/>
      <c r="AB990" s="67"/>
      <c r="AC990" s="67"/>
    </row>
    <row r="991" ht="12.0"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c r="AA991" s="67"/>
      <c r="AB991" s="67"/>
      <c r="AC991" s="67"/>
    </row>
    <row r="992" ht="12.0"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c r="AA992" s="67"/>
      <c r="AB992" s="67"/>
      <c r="AC992" s="67"/>
    </row>
    <row r="993" ht="12.0"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c r="AA993" s="67"/>
      <c r="AB993" s="67"/>
      <c r="AC993" s="67"/>
    </row>
    <row r="994" ht="12.0"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c r="AA994" s="67"/>
      <c r="AB994" s="67"/>
      <c r="AC994" s="67"/>
    </row>
    <row r="995" ht="12.0"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c r="AA995" s="67"/>
      <c r="AB995" s="67"/>
      <c r="AC995" s="67"/>
    </row>
    <row r="996" ht="12.0"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c r="AA996" s="67"/>
      <c r="AB996" s="67"/>
      <c r="AC996" s="67"/>
    </row>
    <row r="997" ht="12.0"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c r="AA997" s="67"/>
      <c r="AB997" s="67"/>
      <c r="AC997" s="67"/>
    </row>
    <row r="998" ht="12.0"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c r="AA998" s="67"/>
      <c r="AB998" s="67"/>
      <c r="AC998" s="67"/>
    </row>
    <row r="999" ht="12.0"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c r="AA999" s="67"/>
      <c r="AB999" s="67"/>
      <c r="AC999" s="67"/>
    </row>
    <row r="1000" ht="12.0"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c r="AC1000" s="67"/>
    </row>
  </sheetData>
  <mergeCells count="1">
    <mergeCell ref="X12:Y1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71"/>
    <col customWidth="1" min="2" max="2" width="17.29"/>
    <col customWidth="1" min="3" max="3" width="13.14"/>
    <col customWidth="1" min="4" max="4" width="16.0"/>
    <col customWidth="1" min="5" max="6" width="17.71"/>
    <col customWidth="1" min="7" max="7" width="31.57"/>
    <col customWidth="1" min="8" max="8" width="20.0"/>
    <col customWidth="1" min="9" max="12" width="8.71"/>
    <col customWidth="1" min="13" max="13" width="12.86"/>
    <col customWidth="1" min="14" max="14" width="8.71"/>
    <col customWidth="1" min="15" max="15" width="17.29"/>
    <col customWidth="1" min="16" max="16" width="8.71"/>
    <col customWidth="1" min="17" max="17" width="13.29"/>
    <col customWidth="1" min="18" max="18" width="16.86"/>
    <col customWidth="1" min="19" max="19" width="8.71"/>
    <col customWidth="1" min="20" max="20" width="13.0"/>
    <col customWidth="1" min="21" max="21" width="10.14"/>
    <col customWidth="1" min="22" max="26" width="8.71"/>
  </cols>
  <sheetData>
    <row r="1" ht="12.0" customHeight="1">
      <c r="C1" s="67"/>
      <c r="D1" s="67"/>
      <c r="E1" s="67"/>
      <c r="F1" s="67"/>
      <c r="G1" s="67"/>
    </row>
    <row r="2" ht="12.0" customHeight="1">
      <c r="A2" s="247"/>
      <c r="B2" s="248"/>
      <c r="C2" s="249" t="s">
        <v>437</v>
      </c>
      <c r="D2" s="250"/>
      <c r="E2" s="251"/>
      <c r="F2" s="43"/>
      <c r="G2" s="43"/>
      <c r="H2" s="67" t="s">
        <v>438</v>
      </c>
      <c r="I2" s="67"/>
      <c r="J2" s="67"/>
      <c r="K2" s="67"/>
      <c r="L2" s="67"/>
      <c r="M2" s="67"/>
      <c r="N2" s="67"/>
      <c r="O2" s="43"/>
      <c r="P2" s="43"/>
      <c r="Q2" s="43"/>
      <c r="R2" s="43"/>
      <c r="S2" s="43"/>
      <c r="T2" s="43"/>
      <c r="U2" s="67"/>
      <c r="V2" s="67"/>
    </row>
    <row r="3" ht="12.0" customHeight="1">
      <c r="A3" s="247"/>
      <c r="B3" s="247" t="s">
        <v>439</v>
      </c>
      <c r="C3" s="247" t="s">
        <v>440</v>
      </c>
      <c r="D3" s="247" t="s">
        <v>441</v>
      </c>
      <c r="E3" s="247" t="s">
        <v>442</v>
      </c>
      <c r="F3" s="247" t="s">
        <v>443</v>
      </c>
      <c r="G3" s="67"/>
      <c r="H3" s="67" t="s">
        <v>444</v>
      </c>
      <c r="I3" s="43"/>
      <c r="J3" s="43"/>
      <c r="K3" s="43"/>
      <c r="L3" s="43"/>
      <c r="M3" s="43"/>
      <c r="N3" s="67"/>
      <c r="O3" s="43"/>
      <c r="P3" s="43"/>
      <c r="Q3" s="224"/>
      <c r="R3" s="224"/>
      <c r="S3" s="224"/>
      <c r="T3" s="224"/>
      <c r="U3" s="67"/>
      <c r="V3" s="67"/>
    </row>
    <row r="4" ht="21.0" customHeight="1">
      <c r="A4" s="247" t="s">
        <v>445</v>
      </c>
      <c r="B4" s="247">
        <f>'Design Calculator'!AN56</f>
        <v>150</v>
      </c>
      <c r="C4" s="252">
        <f>'Design Calculator'!$AN$57</f>
        <v>16</v>
      </c>
      <c r="D4" s="252">
        <f>'Design Calculator'!$AN$58</f>
        <v>3</v>
      </c>
      <c r="E4" s="252">
        <f>IF('Design Calculator'!$AN$59 = "NA", F4, 'Design Calculator'!$AN$59)</f>
        <v>0.7</v>
      </c>
      <c r="F4" s="252">
        <f>'Design Calculator'!AN60</f>
        <v>0.3</v>
      </c>
      <c r="G4" s="214"/>
      <c r="H4" s="67" t="s">
        <v>446</v>
      </c>
      <c r="I4" s="43"/>
      <c r="J4" s="43"/>
      <c r="K4" s="43"/>
      <c r="L4" s="224"/>
      <c r="M4" s="224"/>
      <c r="N4" s="67"/>
      <c r="O4" s="43"/>
      <c r="P4" s="43"/>
      <c r="Q4" s="224"/>
      <c r="R4" s="224"/>
      <c r="S4" s="224"/>
      <c r="T4" s="224"/>
      <c r="U4" s="67"/>
      <c r="V4" s="67"/>
    </row>
    <row r="5" ht="12.0" customHeight="1">
      <c r="A5" s="67"/>
      <c r="C5" s="43"/>
      <c r="D5" s="224"/>
      <c r="E5" s="224"/>
      <c r="F5" s="224"/>
      <c r="G5" s="224"/>
      <c r="H5" s="67"/>
      <c r="I5" s="43"/>
      <c r="J5" s="43"/>
      <c r="K5" s="43"/>
      <c r="L5" s="224"/>
      <c r="M5" s="224"/>
      <c r="N5" s="253"/>
      <c r="Q5" s="224"/>
      <c r="R5" s="224"/>
      <c r="U5" s="67"/>
      <c r="V5" s="67"/>
    </row>
    <row r="6" ht="12.0" customHeight="1">
      <c r="A6" s="67"/>
      <c r="C6" s="43"/>
      <c r="D6" s="224"/>
      <c r="E6" s="224"/>
      <c r="F6" s="224"/>
      <c r="G6" s="224"/>
      <c r="H6" s="67"/>
      <c r="I6" s="43"/>
      <c r="J6" s="43"/>
      <c r="K6" s="43"/>
      <c r="L6" s="224"/>
      <c r="M6" s="224"/>
      <c r="N6" s="67"/>
      <c r="O6" s="67"/>
      <c r="P6" s="67"/>
      <c r="Q6" s="67"/>
      <c r="R6" s="67"/>
      <c r="S6" s="67"/>
      <c r="T6" s="67"/>
      <c r="U6" s="67"/>
      <c r="V6" s="67"/>
    </row>
    <row r="7" ht="12.0" customHeight="1">
      <c r="A7" s="67"/>
      <c r="B7" s="239" t="s">
        <v>447</v>
      </c>
      <c r="G7" s="254" t="s">
        <v>448</v>
      </c>
      <c r="H7" s="67"/>
      <c r="J7" s="253"/>
      <c r="K7" s="224"/>
      <c r="L7" s="67"/>
      <c r="M7" s="67"/>
      <c r="N7" s="67"/>
      <c r="O7" s="67"/>
      <c r="P7" s="67"/>
      <c r="Q7" s="67"/>
      <c r="R7" s="67"/>
      <c r="S7" s="67"/>
      <c r="T7" s="255"/>
      <c r="U7" s="43"/>
      <c r="V7" s="67"/>
    </row>
    <row r="8" ht="12.0" customHeight="1">
      <c r="A8" s="67"/>
      <c r="B8" s="67" t="s">
        <v>449</v>
      </c>
      <c r="C8" s="256">
        <f>IF('Design Calculator'!F71="No", 'Design Calculator'!$F$77,'Design Calculator'!F90)</f>
        <v>2.635294118</v>
      </c>
      <c r="D8" s="67" t="s">
        <v>112</v>
      </c>
      <c r="G8" s="67" t="s">
        <v>449</v>
      </c>
      <c r="H8" s="257">
        <f>Equations!F69</f>
        <v>123.4885817</v>
      </c>
      <c r="J8" s="43"/>
      <c r="K8" s="224"/>
      <c r="L8" s="67"/>
      <c r="M8" s="67"/>
      <c r="N8" s="67"/>
      <c r="O8" s="67"/>
      <c r="P8" s="255"/>
      <c r="Q8" s="67"/>
      <c r="R8" s="67"/>
      <c r="S8" s="67"/>
      <c r="T8" s="255"/>
      <c r="U8" s="43"/>
      <c r="V8" s="67"/>
    </row>
    <row r="9" ht="12.0" customHeight="1">
      <c r="A9" s="67"/>
      <c r="B9" s="67" t="s">
        <v>450</v>
      </c>
      <c r="C9" s="115">
        <f>VINMAX</f>
        <v>30</v>
      </c>
      <c r="D9" s="115" t="s">
        <v>40</v>
      </c>
      <c r="G9" s="67" t="s">
        <v>450</v>
      </c>
      <c r="H9" s="115">
        <f>VINMAX</f>
        <v>30</v>
      </c>
      <c r="K9" s="224"/>
      <c r="L9" s="67"/>
      <c r="M9" s="67"/>
      <c r="N9" s="67"/>
      <c r="O9" s="67"/>
      <c r="P9" s="255"/>
      <c r="Q9" s="67"/>
      <c r="R9" s="67"/>
      <c r="S9" s="67"/>
      <c r="T9" s="255"/>
      <c r="U9" s="67"/>
      <c r="V9" s="67"/>
    </row>
    <row r="10" ht="12.0" customHeight="1">
      <c r="A10" s="67"/>
      <c r="B10" s="67" t="s">
        <v>451</v>
      </c>
      <c r="C10" s="115">
        <f>IF(C8&lt;10, IF(C8&lt;1, 0.1, 1), IF(C8&lt;100, 10, 100))</f>
        <v>1</v>
      </c>
      <c r="D10" s="67" t="s">
        <v>112</v>
      </c>
      <c r="G10" s="67" t="s">
        <v>451</v>
      </c>
      <c r="H10" s="115">
        <f>IF(H8&lt;10, IF(H8&lt;1, 0.1, 1), IF(H8&lt;100, 10, 100))</f>
        <v>100</v>
      </c>
      <c r="K10" s="224"/>
      <c r="L10" s="67"/>
      <c r="M10" s="67"/>
      <c r="N10" s="67"/>
      <c r="O10" s="67"/>
      <c r="P10" s="255"/>
      <c r="Q10" s="67"/>
      <c r="R10" s="67"/>
      <c r="S10" s="67"/>
      <c r="T10" s="255"/>
      <c r="U10" s="67"/>
      <c r="V10" s="67"/>
    </row>
    <row r="11" ht="12.0" customHeight="1">
      <c r="A11" s="67"/>
      <c r="B11" s="67" t="s">
        <v>452</v>
      </c>
      <c r="C11" s="115">
        <f>IF('Design Calculator'!F59="NA", MIN(SOA!C10,1),SOA!C10)</f>
        <v>1</v>
      </c>
      <c r="D11" s="67"/>
      <c r="G11" s="67" t="s">
        <v>452</v>
      </c>
      <c r="H11" s="115">
        <f>IF('Design Calculator'!F59="NA", MIN(SOA!H10,1),SOA!H10)</f>
        <v>100</v>
      </c>
      <c r="K11" s="224"/>
      <c r="L11" s="67"/>
      <c r="M11" s="67"/>
      <c r="N11" s="67"/>
      <c r="O11" s="67"/>
      <c r="P11" s="255"/>
      <c r="Q11" s="67"/>
      <c r="R11" s="67"/>
      <c r="S11" s="67"/>
      <c r="T11" s="67"/>
      <c r="U11" s="67"/>
      <c r="V11" s="67"/>
    </row>
    <row r="12" ht="12.0" customHeight="1">
      <c r="A12" s="67"/>
      <c r="B12" s="67" t="s">
        <v>453</v>
      </c>
      <c r="C12" s="115">
        <f>C10*10</f>
        <v>10</v>
      </c>
      <c r="D12" s="67" t="s">
        <v>112</v>
      </c>
      <c r="G12" s="67" t="s">
        <v>454</v>
      </c>
      <c r="H12" s="115">
        <f>H10*10</f>
        <v>1000</v>
      </c>
      <c r="K12" s="224"/>
      <c r="L12" s="67"/>
      <c r="M12" s="67"/>
      <c r="N12" s="67"/>
      <c r="O12" s="67"/>
      <c r="P12" s="67"/>
      <c r="Q12" s="67"/>
      <c r="R12" s="67"/>
      <c r="S12" s="67"/>
      <c r="T12" s="67"/>
      <c r="U12" s="67"/>
      <c r="V12" s="67"/>
    </row>
    <row r="13" ht="12.0" customHeight="1">
      <c r="A13" s="67"/>
      <c r="B13" s="67" t="s">
        <v>455</v>
      </c>
      <c r="C13" s="115">
        <f>IF('Design Calculator'!F60="NA", MIN(SOA!C12,10),SOA!C12)</f>
        <v>10</v>
      </c>
      <c r="D13" s="67"/>
      <c r="G13" s="67" t="s">
        <v>455</v>
      </c>
      <c r="H13" s="115">
        <f>IF('Design Calculator'!F60="NA", MIN(SOA!H12,10),SOA!H12)</f>
        <v>1000</v>
      </c>
      <c r="K13" s="224"/>
      <c r="L13" s="67"/>
      <c r="M13" s="67"/>
      <c r="N13" s="67"/>
      <c r="O13" s="67"/>
      <c r="P13" s="67"/>
      <c r="Q13" s="67"/>
      <c r="R13" s="67"/>
      <c r="S13" s="67"/>
      <c r="T13" s="67"/>
      <c r="U13" s="67"/>
      <c r="V13" s="67"/>
    </row>
    <row r="14" ht="12.0" customHeight="1">
      <c r="A14" s="67"/>
      <c r="B14" s="67" t="s">
        <v>456</v>
      </c>
      <c r="C14" s="256">
        <f>IF(C11=0.1, B4, IF(C11=1, C4, IF(C11=10, D4, E4)))</f>
        <v>16</v>
      </c>
      <c r="D14" s="67" t="s">
        <v>44</v>
      </c>
      <c r="G14" s="67" t="s">
        <v>456</v>
      </c>
      <c r="H14" s="256">
        <f>IF(H11=0.1, B4, IF(H11=1, C4, IF(H11=10, D4, E4)))</f>
        <v>0.7</v>
      </c>
      <c r="K14" s="224"/>
      <c r="L14" s="67"/>
      <c r="M14" s="67"/>
      <c r="N14" s="67"/>
      <c r="O14" s="67"/>
      <c r="P14" s="67"/>
      <c r="Q14" s="67"/>
      <c r="R14" s="67"/>
      <c r="S14" s="67"/>
      <c r="T14" s="67"/>
      <c r="U14" s="67"/>
      <c r="V14" s="67"/>
    </row>
    <row r="15" ht="12.0" customHeight="1">
      <c r="A15" s="67"/>
      <c r="B15" s="67" t="s">
        <v>457</v>
      </c>
      <c r="C15" s="256">
        <f>IF(C13=1000, F4, IF(C13=1, C4, IF(C13=10, D4, E4)))</f>
        <v>3</v>
      </c>
      <c r="D15" s="67" t="s">
        <v>44</v>
      </c>
      <c r="G15" s="67" t="s">
        <v>457</v>
      </c>
      <c r="H15" s="256">
        <f>IF(H13=1000, F4, IF(H13=1, C4, IF(H13=10, D4, E4)))</f>
        <v>0.3</v>
      </c>
      <c r="K15" s="224"/>
      <c r="L15" s="67"/>
      <c r="M15" s="67"/>
      <c r="N15" s="67"/>
      <c r="O15" s="67"/>
      <c r="P15" s="67"/>
      <c r="Q15" s="67"/>
      <c r="R15" s="67"/>
      <c r="S15" s="67"/>
      <c r="T15" s="67"/>
      <c r="U15" s="67"/>
      <c r="V15" s="67"/>
    </row>
    <row r="16" ht="12.0" customHeight="1">
      <c r="A16" s="67"/>
      <c r="K16" s="224"/>
      <c r="L16" s="67"/>
      <c r="M16" s="67"/>
      <c r="N16" s="67"/>
      <c r="O16" s="67"/>
      <c r="P16" s="67"/>
      <c r="Q16" s="67"/>
      <c r="R16" s="67"/>
      <c r="S16" s="67"/>
      <c r="T16" s="67"/>
      <c r="U16" s="67"/>
      <c r="V16" s="67"/>
    </row>
    <row r="17" ht="12.0" customHeight="1">
      <c r="A17" s="67"/>
      <c r="B17" s="67" t="s">
        <v>458</v>
      </c>
      <c r="G17" s="67" t="s">
        <v>458</v>
      </c>
      <c r="K17" s="224"/>
      <c r="L17" s="67"/>
      <c r="M17" s="67"/>
      <c r="N17" s="67"/>
      <c r="O17" s="67"/>
      <c r="P17" s="67"/>
      <c r="Q17" s="67"/>
      <c r="R17" s="67"/>
      <c r="S17" s="67"/>
      <c r="T17" s="67"/>
      <c r="U17" s="67"/>
      <c r="V17" s="67"/>
    </row>
    <row r="18" ht="12.0" customHeight="1">
      <c r="A18" s="67"/>
      <c r="B18" s="67" t="s">
        <v>459</v>
      </c>
      <c r="C18" s="115">
        <f>C14/C11^C19</f>
        <v>16</v>
      </c>
      <c r="F18" s="67"/>
      <c r="G18" s="67" t="s">
        <v>459</v>
      </c>
      <c r="H18" s="115">
        <f>H14/H11^H19</f>
        <v>3.811111111</v>
      </c>
      <c r="O18" s="67"/>
      <c r="P18" s="67"/>
      <c r="Q18" s="67"/>
      <c r="R18" s="67"/>
      <c r="S18" s="67"/>
      <c r="T18" s="67"/>
      <c r="U18" s="67"/>
      <c r="V18" s="67"/>
    </row>
    <row r="19" ht="12.0" customHeight="1">
      <c r="A19" s="67"/>
      <c r="B19" s="67" t="s">
        <v>460</v>
      </c>
      <c r="C19" s="115">
        <f>LOG(C14/C15)/LOG(C11/C13)</f>
        <v>-0.7269987279</v>
      </c>
      <c r="F19" s="67"/>
      <c r="G19" s="67" t="s">
        <v>460</v>
      </c>
      <c r="H19" s="115">
        <f>IF(H14=H15,1E-12,LOG(H14/H15)/LOG(H11/H13))</f>
        <v>-0.3679767853</v>
      </c>
      <c r="I19" s="67" t="s">
        <v>461</v>
      </c>
      <c r="K19" s="224"/>
      <c r="L19" s="67"/>
      <c r="M19" s="67"/>
      <c r="N19" s="67"/>
      <c r="O19" s="67"/>
      <c r="P19" s="67"/>
      <c r="Q19" s="67"/>
      <c r="R19" s="67"/>
      <c r="S19" s="67"/>
      <c r="T19" s="67"/>
      <c r="U19" s="67"/>
      <c r="V19" s="67"/>
    </row>
    <row r="20" ht="12.0" customHeight="1">
      <c r="A20" s="67"/>
      <c r="B20" s="67" t="s">
        <v>462</v>
      </c>
      <c r="C20" s="115">
        <f>C18*C8^C19</f>
        <v>7.910023389</v>
      </c>
      <c r="D20" s="67" t="s">
        <v>44</v>
      </c>
      <c r="G20" s="67" t="s">
        <v>462</v>
      </c>
      <c r="H20" s="115">
        <f>H18*H8^H19</f>
        <v>0.6477113445</v>
      </c>
      <c r="K20" s="224"/>
      <c r="L20" s="67"/>
      <c r="M20" s="67"/>
      <c r="N20" s="67"/>
      <c r="O20" s="67"/>
      <c r="P20" s="67"/>
      <c r="Q20" s="67"/>
      <c r="R20" s="67"/>
      <c r="S20" s="67"/>
      <c r="T20" s="67"/>
      <c r="U20" s="67"/>
      <c r="V20" s="67"/>
    </row>
    <row r="21" ht="12.0" customHeight="1">
      <c r="A21" s="67"/>
      <c r="K21" s="224"/>
      <c r="L21" s="67"/>
      <c r="M21" s="67"/>
      <c r="N21" s="43"/>
      <c r="O21" s="67"/>
      <c r="P21" s="67"/>
      <c r="Q21" s="67"/>
      <c r="R21" s="67"/>
      <c r="S21" s="67"/>
      <c r="T21" s="67"/>
      <c r="U21" s="67"/>
      <c r="V21" s="67"/>
    </row>
    <row r="22" ht="12.0" customHeight="1">
      <c r="A22" s="67"/>
      <c r="B22" s="146" t="s">
        <v>463</v>
      </c>
      <c r="C22" s="115">
        <f> C20*C9</f>
        <v>237.3007017</v>
      </c>
      <c r="D22" s="67"/>
      <c r="G22" s="146" t="s">
        <v>463</v>
      </c>
      <c r="H22" s="115">
        <f>IF(H8&lt;1, H14, H20)*H9</f>
        <v>19.43134034</v>
      </c>
      <c r="K22" s="224"/>
      <c r="L22" s="67"/>
      <c r="M22" s="67"/>
      <c r="N22" s="67"/>
      <c r="O22" s="67"/>
      <c r="P22" s="67"/>
      <c r="Q22" s="67"/>
      <c r="R22" s="67"/>
      <c r="S22" s="67"/>
      <c r="T22" s="67"/>
      <c r="U22" s="67"/>
      <c r="V22" s="67"/>
    </row>
    <row r="23" ht="12.0" customHeight="1">
      <c r="A23" s="67"/>
      <c r="K23" s="224"/>
      <c r="L23" s="67"/>
      <c r="M23" s="67"/>
      <c r="N23" s="67"/>
      <c r="O23" s="67"/>
      <c r="P23" s="67"/>
      <c r="Q23" s="67"/>
      <c r="R23" s="67"/>
      <c r="S23" s="67"/>
      <c r="T23" s="67"/>
      <c r="U23" s="67"/>
      <c r="V23" s="67"/>
    </row>
    <row r="24" ht="12.0" customHeight="1">
      <c r="A24" s="67"/>
      <c r="G24" s="67" t="s">
        <v>464</v>
      </c>
      <c r="H24" s="115" t="str">
        <f>'Design Calculator'!F79</f>
        <v>Yes</v>
      </c>
      <c r="K24" s="224"/>
      <c r="L24" s="67"/>
      <c r="M24" s="67"/>
      <c r="N24" s="67"/>
      <c r="O24" s="43"/>
      <c r="P24" s="67"/>
      <c r="Q24" s="67"/>
      <c r="R24" s="67"/>
      <c r="S24" s="67"/>
      <c r="T24" s="67"/>
      <c r="U24" s="67"/>
      <c r="V24" s="67"/>
    </row>
    <row r="25" ht="12.0" customHeight="1">
      <c r="A25" s="67"/>
      <c r="B25" s="43" t="s">
        <v>465</v>
      </c>
      <c r="C25" s="115">
        <f>(TJMAX-TJ)/(TJMAX-25)</f>
        <v>0.41248</v>
      </c>
      <c r="D25" s="224"/>
      <c r="E25" s="224"/>
      <c r="F25" s="224"/>
      <c r="G25" s="67" t="s">
        <v>466</v>
      </c>
      <c r="H25" s="258">
        <f>IF(H24="Yes", TJ,TAMB)</f>
        <v>98.44</v>
      </c>
      <c r="K25" s="224"/>
      <c r="L25" s="67"/>
      <c r="M25" s="67"/>
      <c r="N25" s="67"/>
      <c r="O25" s="43"/>
      <c r="P25" s="67"/>
      <c r="Q25" s="67"/>
      <c r="R25" s="67"/>
      <c r="S25" s="67"/>
      <c r="T25" s="67"/>
      <c r="U25" s="67"/>
      <c r="V25" s="67"/>
    </row>
    <row r="26" ht="12.0" customHeight="1">
      <c r="A26" s="67"/>
      <c r="B26" s="146" t="s">
        <v>467</v>
      </c>
      <c r="C26" s="115">
        <f>IF((C22*C25)&lt;0,0.000000001,C22*C25)</f>
        <v>97.88179342</v>
      </c>
      <c r="D26" s="259" t="s">
        <v>59</v>
      </c>
      <c r="E26" s="224"/>
      <c r="F26" s="224"/>
      <c r="K26" s="224"/>
      <c r="L26" s="67"/>
      <c r="M26" s="67"/>
      <c r="N26" s="67"/>
      <c r="O26" s="67"/>
      <c r="P26" s="67"/>
      <c r="Q26" s="67"/>
      <c r="R26" s="67"/>
      <c r="S26" s="67"/>
      <c r="T26" s="67"/>
      <c r="U26" s="67"/>
      <c r="V26" s="67"/>
    </row>
    <row r="27" ht="12.0" customHeight="1">
      <c r="A27" s="67"/>
      <c r="B27" s="43"/>
      <c r="C27" s="43"/>
      <c r="D27" s="224"/>
      <c r="E27" s="224"/>
      <c r="F27" s="224"/>
      <c r="G27" s="43" t="s">
        <v>465</v>
      </c>
      <c r="H27" s="115">
        <f>(TJMAX-H25)/(TJMAX-25)</f>
        <v>0.41248</v>
      </c>
      <c r="K27" s="224"/>
      <c r="L27" s="67"/>
      <c r="M27" s="67"/>
      <c r="N27" s="67"/>
      <c r="O27" s="67"/>
      <c r="P27" s="67"/>
      <c r="Q27" s="67"/>
      <c r="R27" s="67"/>
      <c r="S27" s="67"/>
      <c r="T27" s="67"/>
      <c r="U27" s="67"/>
      <c r="V27" s="67"/>
    </row>
    <row r="28" ht="12.0" customHeight="1">
      <c r="A28" s="67"/>
      <c r="B28" s="43"/>
      <c r="D28" s="224"/>
      <c r="E28" s="224"/>
      <c r="F28" s="224"/>
      <c r="G28" s="146" t="s">
        <v>467</v>
      </c>
      <c r="H28" s="115">
        <f>IF((H22*H27)&lt;0,0.000000001,H22*H27)</f>
        <v>8.015039261</v>
      </c>
      <c r="K28" s="224"/>
      <c r="L28" s="67"/>
      <c r="M28" s="67"/>
      <c r="N28" s="67"/>
      <c r="O28" s="67"/>
      <c r="P28" s="67"/>
      <c r="Q28" s="67"/>
      <c r="R28" s="67"/>
      <c r="S28" s="67"/>
      <c r="T28" s="67"/>
      <c r="U28" s="67"/>
      <c r="V28" s="67"/>
    </row>
    <row r="29" ht="12.0" customHeight="1">
      <c r="A29" s="67"/>
      <c r="B29" s="43" t="s">
        <v>468</v>
      </c>
      <c r="D29" s="224"/>
      <c r="E29" s="224"/>
      <c r="F29" s="224"/>
      <c r="H29" s="67"/>
      <c r="I29" s="214"/>
      <c r="J29" s="214"/>
      <c r="K29" s="214"/>
      <c r="L29" s="67"/>
      <c r="M29" s="67"/>
      <c r="N29" s="67"/>
      <c r="O29" s="67"/>
      <c r="P29" s="67"/>
      <c r="Q29" s="67"/>
      <c r="R29" s="67"/>
      <c r="S29" s="67"/>
      <c r="T29" s="67"/>
      <c r="U29" s="67"/>
      <c r="V29" s="67"/>
    </row>
    <row r="30" ht="12.0" customHeight="1">
      <c r="A30" s="67"/>
      <c r="C30" s="239" t="s">
        <v>469</v>
      </c>
      <c r="D30" s="260" t="s">
        <v>470</v>
      </c>
      <c r="E30" s="260" t="s">
        <v>471</v>
      </c>
      <c r="F30" s="260" t="s">
        <v>472</v>
      </c>
      <c r="G30" s="224"/>
      <c r="H30" s="67"/>
      <c r="I30" s="214"/>
      <c r="J30" s="214"/>
      <c r="K30" s="214"/>
      <c r="L30" s="67"/>
      <c r="M30" s="67"/>
      <c r="N30" s="67"/>
      <c r="O30" s="67"/>
      <c r="P30" s="67"/>
      <c r="Q30" s="67"/>
      <c r="R30" s="67"/>
      <c r="S30" s="67"/>
      <c r="T30" s="67"/>
      <c r="U30" s="67"/>
      <c r="V30" s="67"/>
    </row>
    <row r="31" ht="12.0" customHeight="1">
      <c r="B31" s="43" t="s">
        <v>473</v>
      </c>
      <c r="C31" s="43">
        <v>0.1</v>
      </c>
      <c r="D31" s="43">
        <v>1.0</v>
      </c>
      <c r="E31" s="224">
        <v>10.0</v>
      </c>
      <c r="F31" s="43">
        <v>100.0</v>
      </c>
      <c r="G31" s="254"/>
      <c r="H31" s="67"/>
      <c r="I31" s="67"/>
      <c r="J31" s="67"/>
      <c r="K31" s="67"/>
      <c r="L31" s="67"/>
      <c r="M31" s="67"/>
      <c r="N31" s="67"/>
      <c r="O31" s="67"/>
      <c r="P31" s="67"/>
      <c r="Q31" s="67"/>
      <c r="R31" s="67"/>
      <c r="S31" s="67"/>
      <c r="T31" s="67"/>
      <c r="U31" s="67"/>
      <c r="V31" s="67"/>
    </row>
    <row r="32" ht="12.0" customHeight="1">
      <c r="B32" s="43" t="s">
        <v>474</v>
      </c>
      <c r="C32" s="43">
        <v>1.0</v>
      </c>
      <c r="D32" s="43">
        <v>10.0</v>
      </c>
      <c r="E32" s="224">
        <v>100.0</v>
      </c>
      <c r="F32" s="43">
        <v>1000.0</v>
      </c>
      <c r="G32" s="146"/>
      <c r="H32" s="67"/>
      <c r="I32" s="67"/>
      <c r="J32" s="67"/>
      <c r="K32" s="67"/>
      <c r="L32" s="67"/>
      <c r="M32" s="67"/>
      <c r="N32" s="67"/>
      <c r="O32" s="67"/>
      <c r="P32" s="67"/>
      <c r="Q32" s="67"/>
      <c r="R32" s="67"/>
      <c r="S32" s="67"/>
      <c r="T32" s="67"/>
      <c r="U32" s="67"/>
      <c r="V32" s="67"/>
    </row>
    <row r="33" ht="12.0" customHeight="1">
      <c r="B33" s="43" t="s">
        <v>459</v>
      </c>
      <c r="C33" s="43">
        <f t="shared" ref="C33:D33" si="1">B4/(C31^C34)</f>
        <v>16</v>
      </c>
      <c r="D33" s="43">
        <f t="shared" si="1"/>
        <v>16</v>
      </c>
      <c r="E33" s="43">
        <f>IF('Design Calculator'!F60="NA",D33,D4/(E31^E34))</f>
        <v>12.85714286</v>
      </c>
      <c r="F33" s="43">
        <f>IF('Design Calculator'!F60="NA", E33, E4/(F31^F34))</f>
        <v>3.811111111</v>
      </c>
      <c r="G33" s="67"/>
      <c r="H33" s="67"/>
      <c r="I33" s="67"/>
      <c r="J33" s="67"/>
      <c r="K33" s="67"/>
      <c r="L33" s="67"/>
      <c r="M33" s="67"/>
      <c r="N33" s="67"/>
      <c r="O33" s="67"/>
      <c r="P33" s="67"/>
      <c r="Q33" s="67"/>
      <c r="R33" s="67"/>
      <c r="S33" s="67"/>
      <c r="T33" s="67"/>
      <c r="U33" s="67"/>
      <c r="V33" s="67"/>
    </row>
    <row r="34" ht="12.0" customHeight="1">
      <c r="B34" s="43" t="s">
        <v>460</v>
      </c>
      <c r="C34" s="224">
        <f t="shared" ref="C34:D34" si="2">LOG(B4/C4)/LOG(C31/C32)</f>
        <v>-0.9719712764</v>
      </c>
      <c r="D34" s="224">
        <f t="shared" si="2"/>
        <v>-0.7269987279</v>
      </c>
      <c r="E34" s="224">
        <f>IF('Design Calculator'!F60="NA", D34, LOG(D4/E4)/LOG(E31/E32))</f>
        <v>-0.6320232147</v>
      </c>
      <c r="F34" s="224">
        <f>IF('Design Calculator'!F60="NA",E34,LOG(E4/F4)/LOG(F31/F32))</f>
        <v>-0.3679767853</v>
      </c>
      <c r="G34" s="67"/>
      <c r="H34" s="67"/>
      <c r="I34" s="67"/>
      <c r="J34" s="67"/>
      <c r="K34" s="67"/>
      <c r="L34" s="67"/>
      <c r="M34" s="67"/>
      <c r="N34" s="67"/>
      <c r="O34" s="67"/>
      <c r="P34" s="67"/>
      <c r="Q34" s="67"/>
      <c r="R34" s="67"/>
      <c r="S34" s="67"/>
      <c r="T34" s="67"/>
      <c r="U34" s="67"/>
      <c r="V34" s="67"/>
    </row>
    <row r="35" ht="12.0" customHeight="1">
      <c r="E35" s="224"/>
      <c r="F35" s="67"/>
      <c r="G35" s="67"/>
      <c r="H35" s="67"/>
      <c r="I35" s="67"/>
      <c r="J35" s="67"/>
      <c r="K35" s="67"/>
      <c r="L35" s="67"/>
      <c r="M35" s="67"/>
      <c r="N35" s="67"/>
      <c r="O35" s="67"/>
      <c r="P35" s="67"/>
      <c r="Q35" s="67"/>
      <c r="R35" s="67"/>
      <c r="S35" s="67"/>
      <c r="T35" s="67"/>
      <c r="U35" s="67"/>
      <c r="V35" s="67"/>
    </row>
    <row r="36" ht="12.0" customHeight="1">
      <c r="E36" s="224"/>
      <c r="F36" s="67"/>
      <c r="G36" s="67"/>
      <c r="H36" s="67"/>
      <c r="I36" s="67"/>
      <c r="J36" s="67"/>
      <c r="K36" s="67"/>
      <c r="L36" s="67"/>
      <c r="M36" s="67"/>
      <c r="N36" s="67"/>
      <c r="O36" s="67"/>
      <c r="P36" s="67"/>
      <c r="Q36" s="67"/>
      <c r="R36" s="67"/>
      <c r="S36" s="67"/>
      <c r="T36" s="67"/>
      <c r="U36" s="67"/>
      <c r="V36" s="67"/>
    </row>
    <row r="37" ht="12.0" customHeight="1">
      <c r="E37" s="224"/>
      <c r="F37" s="67"/>
      <c r="G37" s="67"/>
      <c r="H37" s="67"/>
      <c r="I37" s="67"/>
      <c r="J37" s="67"/>
      <c r="K37" s="67"/>
      <c r="L37" s="67"/>
      <c r="M37" s="67"/>
      <c r="N37" s="67"/>
      <c r="O37" s="67"/>
      <c r="P37" s="67"/>
      <c r="Q37" s="67"/>
      <c r="R37" s="67"/>
      <c r="S37" s="67"/>
      <c r="T37" s="67"/>
      <c r="U37" s="67"/>
      <c r="V37" s="67"/>
    </row>
    <row r="38" ht="12.0" customHeight="1">
      <c r="E38" s="224"/>
      <c r="F38" s="67"/>
      <c r="G38" s="67"/>
      <c r="H38" s="67"/>
      <c r="I38" s="67"/>
      <c r="J38" s="67"/>
      <c r="K38" s="67"/>
      <c r="L38" s="67"/>
      <c r="M38" s="67"/>
      <c r="N38" s="67"/>
      <c r="O38" s="67"/>
      <c r="P38" s="67"/>
      <c r="Q38" s="67"/>
      <c r="R38" s="67"/>
      <c r="S38" s="67"/>
      <c r="T38" s="67"/>
      <c r="U38" s="67"/>
      <c r="V38" s="67"/>
    </row>
    <row r="39" ht="12.0" customHeight="1">
      <c r="E39" s="224"/>
      <c r="F39" s="67"/>
      <c r="H39" s="67"/>
      <c r="I39" s="67"/>
      <c r="J39" s="67"/>
      <c r="K39" s="67"/>
      <c r="L39" s="67"/>
      <c r="M39" s="67"/>
      <c r="N39" s="67"/>
      <c r="O39" s="67"/>
      <c r="P39" s="67"/>
      <c r="Q39" s="67"/>
      <c r="R39" s="67"/>
      <c r="S39" s="67"/>
      <c r="T39" s="67"/>
      <c r="U39" s="67"/>
      <c r="V39" s="67"/>
    </row>
    <row r="40" ht="12.0" customHeight="1">
      <c r="E40" s="224"/>
      <c r="F40" s="67"/>
      <c r="G40" s="67"/>
      <c r="H40" s="67"/>
      <c r="I40" s="67"/>
      <c r="J40" s="67"/>
      <c r="K40" s="67"/>
      <c r="L40" s="67"/>
      <c r="M40" s="67"/>
      <c r="N40" s="67"/>
      <c r="O40" s="67"/>
      <c r="P40" s="67"/>
      <c r="Q40" s="67"/>
      <c r="R40" s="67"/>
      <c r="S40" s="67"/>
      <c r="T40" s="67"/>
      <c r="U40" s="67"/>
      <c r="V40" s="67"/>
    </row>
    <row r="41" ht="12.0" customHeight="1">
      <c r="E41" s="224"/>
      <c r="F41" s="67"/>
      <c r="H41" s="67"/>
      <c r="I41" s="67"/>
      <c r="J41" s="67"/>
      <c r="K41" s="67"/>
      <c r="L41" s="67"/>
      <c r="M41" s="67"/>
      <c r="N41" s="67"/>
      <c r="O41" s="67"/>
      <c r="P41" s="67"/>
      <c r="Q41" s="67"/>
      <c r="R41" s="67"/>
      <c r="S41" s="67"/>
      <c r="T41" s="67"/>
      <c r="U41" s="67"/>
      <c r="V41" s="67"/>
    </row>
    <row r="42" ht="12.0" customHeight="1">
      <c r="E42" s="224"/>
      <c r="F42" s="67"/>
      <c r="G42" s="67"/>
      <c r="H42" s="67"/>
      <c r="I42" s="67"/>
      <c r="J42" s="67"/>
      <c r="K42" s="67"/>
      <c r="L42" s="67"/>
      <c r="M42" s="67"/>
      <c r="N42" s="67"/>
      <c r="O42" s="67"/>
      <c r="P42" s="67"/>
      <c r="Q42" s="67"/>
      <c r="R42" s="67"/>
      <c r="S42" s="67"/>
      <c r="T42" s="67"/>
      <c r="U42" s="67"/>
      <c r="V42" s="67"/>
    </row>
    <row r="43" ht="12.0" customHeight="1">
      <c r="E43" s="224"/>
      <c r="F43" s="67"/>
      <c r="G43" s="67"/>
      <c r="H43" s="67"/>
      <c r="I43" s="67"/>
      <c r="J43" s="67"/>
      <c r="K43" s="67"/>
      <c r="L43" s="67"/>
      <c r="M43" s="67"/>
      <c r="N43" s="67"/>
      <c r="O43" s="67"/>
      <c r="P43" s="67"/>
      <c r="Q43" s="67"/>
      <c r="R43" s="67"/>
      <c r="S43" s="67"/>
      <c r="T43" s="67"/>
      <c r="U43" s="67"/>
      <c r="V43" s="67"/>
    </row>
    <row r="44" ht="12.0" customHeight="1">
      <c r="E44" s="224"/>
      <c r="F44" s="67"/>
      <c r="G44" s="67"/>
      <c r="H44" s="67"/>
      <c r="I44" s="67"/>
      <c r="J44" s="67"/>
      <c r="K44" s="67"/>
      <c r="L44" s="67"/>
      <c r="M44" s="67"/>
      <c r="N44" s="67"/>
      <c r="O44" s="67"/>
      <c r="P44" s="67"/>
      <c r="Q44" s="67"/>
      <c r="R44" s="67"/>
      <c r="S44" s="67"/>
      <c r="T44" s="67"/>
      <c r="U44" s="67"/>
      <c r="V44" s="67"/>
    </row>
    <row r="45" ht="12.0" customHeight="1">
      <c r="E45" s="224"/>
      <c r="F45" s="67"/>
      <c r="H45" s="67"/>
      <c r="I45" s="67"/>
      <c r="J45" s="67"/>
      <c r="K45" s="67"/>
      <c r="L45" s="67"/>
      <c r="M45" s="67"/>
      <c r="N45" s="67"/>
      <c r="O45" s="67"/>
      <c r="P45" s="67"/>
      <c r="Q45" s="67"/>
      <c r="R45" s="67"/>
      <c r="S45" s="67"/>
      <c r="T45" s="67"/>
      <c r="U45" s="67"/>
      <c r="V45" s="67"/>
    </row>
    <row r="46" ht="12.0" customHeight="1">
      <c r="E46" s="224"/>
      <c r="F46" s="67"/>
      <c r="G46" s="146"/>
      <c r="H46" s="67"/>
      <c r="I46" s="67"/>
      <c r="J46" s="67"/>
      <c r="K46" s="67"/>
      <c r="L46" s="67"/>
      <c r="M46" s="67"/>
      <c r="N46" s="67"/>
      <c r="O46" s="67"/>
      <c r="P46" s="67"/>
      <c r="Q46" s="67"/>
      <c r="R46" s="67"/>
      <c r="S46" s="67"/>
      <c r="T46" s="67"/>
      <c r="U46" s="67"/>
      <c r="V46" s="67"/>
    </row>
    <row r="47" ht="12.0" customHeight="1">
      <c r="E47" s="224"/>
      <c r="F47" s="67"/>
      <c r="H47" s="67"/>
      <c r="I47" s="67"/>
      <c r="J47" s="67"/>
      <c r="K47" s="67"/>
      <c r="L47" s="67"/>
      <c r="M47" s="67"/>
      <c r="N47" s="67"/>
      <c r="O47" s="67"/>
      <c r="P47" s="67"/>
      <c r="Q47" s="67"/>
      <c r="R47" s="67"/>
      <c r="S47" s="67"/>
      <c r="T47" s="67"/>
      <c r="U47" s="67"/>
      <c r="V47" s="67"/>
    </row>
    <row r="48" ht="12.0" customHeight="1">
      <c r="E48" s="224"/>
      <c r="F48" s="67"/>
      <c r="H48" s="67"/>
      <c r="I48" s="67"/>
      <c r="J48" s="67"/>
      <c r="K48" s="67"/>
      <c r="L48" s="67"/>
      <c r="M48" s="67"/>
      <c r="N48" s="67"/>
      <c r="O48" s="67"/>
      <c r="P48" s="67"/>
      <c r="Q48" s="67"/>
      <c r="R48" s="67"/>
      <c r="S48" s="67"/>
      <c r="T48" s="67"/>
      <c r="U48" s="67"/>
      <c r="V48" s="67"/>
    </row>
    <row r="49" ht="12.0" customHeight="1">
      <c r="E49" s="224"/>
      <c r="F49" s="67"/>
      <c r="G49" s="43"/>
      <c r="H49" s="67"/>
      <c r="I49" s="67"/>
      <c r="J49" s="67"/>
      <c r="K49" s="67"/>
      <c r="L49" s="67"/>
      <c r="M49" s="67"/>
      <c r="N49" s="67"/>
      <c r="O49" s="67"/>
      <c r="P49" s="67"/>
      <c r="Q49" s="67"/>
      <c r="R49" s="67"/>
      <c r="S49" s="67"/>
      <c r="T49" s="67"/>
      <c r="U49" s="67"/>
      <c r="V49" s="67"/>
    </row>
    <row r="50" ht="12.0" customHeight="1">
      <c r="E50" s="224"/>
      <c r="F50" s="67"/>
      <c r="G50" s="146"/>
      <c r="H50" s="67"/>
      <c r="I50" s="67"/>
      <c r="J50" s="67"/>
      <c r="K50" s="67"/>
      <c r="L50" s="67"/>
      <c r="M50" s="67"/>
      <c r="N50" s="67"/>
      <c r="O50" s="67"/>
      <c r="P50" s="67"/>
      <c r="Q50" s="67"/>
      <c r="R50" s="67"/>
      <c r="S50" s="67"/>
      <c r="T50" s="67"/>
      <c r="U50" s="67"/>
      <c r="V50" s="67"/>
    </row>
    <row r="51" ht="12.0" customHeight="1">
      <c r="E51" s="224"/>
      <c r="F51" s="224"/>
      <c r="G51" s="224"/>
      <c r="H51" s="67"/>
      <c r="I51" s="67"/>
      <c r="J51" s="67"/>
      <c r="K51" s="67"/>
      <c r="L51" s="67"/>
      <c r="M51" s="67"/>
      <c r="N51" s="67"/>
      <c r="O51" s="67"/>
      <c r="P51" s="67"/>
      <c r="Q51" s="67"/>
      <c r="R51" s="67"/>
      <c r="S51" s="67"/>
      <c r="T51" s="67"/>
      <c r="U51" s="67"/>
      <c r="V51" s="67"/>
    </row>
    <row r="52" ht="12.0" customHeight="1">
      <c r="E52" s="224"/>
      <c r="F52" s="224"/>
      <c r="G52" s="224"/>
      <c r="H52" s="67"/>
      <c r="I52" s="67"/>
      <c r="J52" s="67"/>
      <c r="K52" s="67"/>
      <c r="L52" s="67"/>
      <c r="M52" s="67"/>
      <c r="N52" s="67"/>
      <c r="O52" s="67"/>
      <c r="P52" s="67"/>
      <c r="Q52" s="67"/>
      <c r="R52" s="67"/>
      <c r="S52" s="67"/>
      <c r="T52" s="67"/>
      <c r="U52" s="67"/>
      <c r="V52" s="67"/>
    </row>
    <row r="53" ht="12.0" customHeight="1">
      <c r="A53" s="67"/>
      <c r="B53" s="67"/>
      <c r="C53" s="43"/>
      <c r="D53" s="224"/>
      <c r="E53" s="224"/>
      <c r="F53" s="224"/>
      <c r="G53" s="224"/>
      <c r="H53" s="67"/>
      <c r="I53" s="67"/>
      <c r="J53" s="67"/>
      <c r="K53" s="67"/>
      <c r="L53" s="67"/>
      <c r="M53" s="67"/>
      <c r="N53" s="67"/>
      <c r="O53" s="67"/>
      <c r="P53" s="67"/>
      <c r="Q53" s="67"/>
      <c r="R53" s="67"/>
      <c r="S53" s="67"/>
      <c r="T53" s="67"/>
      <c r="U53" s="67"/>
      <c r="V53" s="67"/>
    </row>
    <row r="54" ht="12.0" customHeight="1">
      <c r="A54" s="67"/>
      <c r="B54" s="67"/>
      <c r="C54" s="43"/>
      <c r="D54" s="224"/>
      <c r="E54" s="224"/>
      <c r="F54" s="224"/>
      <c r="G54" s="224"/>
      <c r="H54" s="67"/>
      <c r="I54" s="67"/>
      <c r="J54" s="67"/>
      <c r="K54" s="67"/>
      <c r="L54" s="67"/>
      <c r="M54" s="67"/>
      <c r="N54" s="67"/>
      <c r="O54" s="67"/>
      <c r="P54" s="67"/>
      <c r="Q54" s="67"/>
      <c r="R54" s="67"/>
      <c r="S54" s="67"/>
      <c r="T54" s="67"/>
      <c r="U54" s="67"/>
      <c r="V54" s="67"/>
    </row>
    <row r="55" ht="12.0" customHeight="1">
      <c r="A55" s="67"/>
      <c r="B55" s="67"/>
      <c r="C55" s="43"/>
      <c r="D55" s="224"/>
      <c r="E55" s="224"/>
      <c r="F55" s="224"/>
      <c r="G55" s="224"/>
      <c r="H55" s="67"/>
      <c r="I55" s="67"/>
      <c r="J55" s="67"/>
      <c r="K55" s="67"/>
      <c r="L55" s="67"/>
      <c r="M55" s="67"/>
      <c r="N55" s="67"/>
      <c r="O55" s="67"/>
      <c r="P55" s="67"/>
      <c r="Q55" s="67"/>
      <c r="R55" s="67"/>
      <c r="S55" s="67"/>
      <c r="T55" s="67"/>
      <c r="U55" s="67"/>
      <c r="V55" s="67"/>
    </row>
    <row r="56" ht="12.0" customHeight="1">
      <c r="A56" s="67"/>
      <c r="B56" s="67"/>
      <c r="C56" s="43"/>
      <c r="D56" s="224"/>
      <c r="E56" s="224"/>
      <c r="F56" s="224"/>
      <c r="G56" s="224"/>
      <c r="H56" s="67"/>
    </row>
    <row r="57" ht="12.0" customHeight="1">
      <c r="A57" s="67"/>
      <c r="B57" s="67"/>
      <c r="C57" s="43"/>
      <c r="D57" s="224"/>
      <c r="E57" s="224"/>
      <c r="F57" s="224"/>
      <c r="G57" s="224"/>
    </row>
    <row r="58" ht="12.0" customHeight="1">
      <c r="A58" s="67"/>
      <c r="B58" s="67"/>
      <c r="C58" s="43"/>
      <c r="D58" s="224"/>
      <c r="E58" s="224"/>
      <c r="F58" s="224"/>
      <c r="G58" s="224"/>
    </row>
    <row r="59" ht="12.0" customHeight="1">
      <c r="A59" s="67"/>
      <c r="B59" s="67"/>
      <c r="C59" s="43"/>
      <c r="D59" s="224"/>
      <c r="E59" s="224"/>
      <c r="F59" s="224"/>
      <c r="G59" s="224"/>
    </row>
    <row r="60" ht="12.0" customHeight="1">
      <c r="A60" s="67"/>
      <c r="B60" s="67"/>
      <c r="C60" s="43"/>
      <c r="D60" s="224"/>
      <c r="E60" s="224"/>
      <c r="F60" s="224"/>
      <c r="G60" s="224"/>
    </row>
    <row r="61" ht="12.0" customHeight="1">
      <c r="A61" s="67"/>
      <c r="B61" s="67"/>
      <c r="C61" s="43"/>
      <c r="D61" s="224"/>
      <c r="E61" s="224"/>
      <c r="F61" s="224"/>
      <c r="G61" s="224"/>
    </row>
    <row r="62" ht="12.0" customHeight="1">
      <c r="A62" s="67"/>
      <c r="B62" s="67"/>
      <c r="C62" s="43"/>
      <c r="D62" s="224"/>
      <c r="E62" s="224"/>
      <c r="F62" s="224"/>
      <c r="G62" s="224"/>
    </row>
    <row r="63" ht="12.0" customHeight="1">
      <c r="A63" s="67"/>
      <c r="B63" s="67"/>
      <c r="C63" s="43"/>
      <c r="D63" s="224"/>
      <c r="E63" s="224"/>
      <c r="F63" s="224"/>
      <c r="G63" s="224"/>
    </row>
    <row r="64" ht="12.0" customHeight="1">
      <c r="A64" s="67"/>
      <c r="B64" s="67"/>
      <c r="C64" s="43"/>
      <c r="D64" s="224"/>
      <c r="E64" s="224"/>
      <c r="F64" s="224"/>
      <c r="G64" s="224"/>
    </row>
    <row r="65" ht="12.0" customHeight="1">
      <c r="A65" s="67"/>
      <c r="B65" s="67"/>
      <c r="C65" s="43"/>
      <c r="D65" s="224"/>
      <c r="E65" s="224"/>
      <c r="F65" s="224"/>
      <c r="G65" s="224"/>
    </row>
    <row r="66" ht="12.0" customHeight="1">
      <c r="A66" s="67"/>
      <c r="B66" s="67"/>
      <c r="C66" s="43"/>
      <c r="D66" s="224"/>
      <c r="E66" s="224"/>
      <c r="F66" s="224"/>
      <c r="G66" s="224"/>
    </row>
    <row r="67" ht="12.0" customHeight="1">
      <c r="A67" s="67"/>
      <c r="B67" s="67"/>
      <c r="C67" s="43"/>
      <c r="D67" s="224"/>
      <c r="E67" s="224"/>
      <c r="F67" s="224"/>
      <c r="G67" s="224"/>
    </row>
    <row r="68" ht="12.0" customHeight="1">
      <c r="A68" s="67"/>
      <c r="B68" s="67"/>
      <c r="C68" s="43"/>
      <c r="D68" s="224"/>
      <c r="E68" s="224"/>
      <c r="F68" s="224"/>
      <c r="G68" s="224"/>
    </row>
    <row r="69" ht="12.0" customHeight="1">
      <c r="A69" s="67"/>
      <c r="B69" s="67"/>
      <c r="C69" s="43"/>
      <c r="D69" s="224"/>
      <c r="E69" s="224"/>
      <c r="F69" s="224"/>
      <c r="G69" s="224"/>
    </row>
    <row r="70" ht="12.0" customHeight="1">
      <c r="A70" s="67"/>
      <c r="B70" s="67"/>
    </row>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C2:E2"/>
    <mergeCell ref="N5:P5"/>
    <mergeCell ref="R5:T5"/>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37.43"/>
    <col customWidth="1" min="5" max="5" width="15.71"/>
    <col customWidth="1" min="6" max="8" width="8.71"/>
    <col customWidth="1" min="9" max="9" width="13.29"/>
    <col customWidth="1" min="10" max="10" width="11.71"/>
    <col customWidth="1" min="11" max="11" width="11.43"/>
    <col customWidth="1" min="12" max="12" width="15.0"/>
    <col customWidth="1" min="13" max="13" width="13.71"/>
    <col customWidth="1" min="14" max="26" width="8.71"/>
  </cols>
  <sheetData>
    <row r="1" ht="12.0" customHeight="1"/>
    <row r="2" ht="12.0" customHeight="1"/>
    <row r="3" ht="12.0" customHeight="1"/>
    <row r="4" ht="12.0" customHeight="1"/>
    <row r="5" ht="12.0" customHeight="1">
      <c r="C5" s="67" t="s">
        <v>475</v>
      </c>
    </row>
    <row r="6" ht="12.0" customHeight="1"/>
    <row r="7" ht="12.0" customHeight="1">
      <c r="C7" s="67" t="s">
        <v>476</v>
      </c>
    </row>
    <row r="8" ht="12.0" customHeight="1">
      <c r="C8" s="67" t="s">
        <v>477</v>
      </c>
    </row>
    <row r="9" ht="12.0" customHeight="1"/>
    <row r="10" ht="12.0" customHeight="1">
      <c r="C10" s="67" t="s">
        <v>478</v>
      </c>
    </row>
    <row r="11" ht="12.0" customHeight="1">
      <c r="C11" s="67" t="s">
        <v>479</v>
      </c>
    </row>
    <row r="12" ht="12.0" customHeight="1">
      <c r="C12" s="67" t="s">
        <v>480</v>
      </c>
    </row>
    <row r="13" ht="12.0" customHeight="1">
      <c r="C13" s="67" t="s">
        <v>481</v>
      </c>
    </row>
    <row r="14" ht="12.0" customHeight="1">
      <c r="C14" s="67" t="s">
        <v>482</v>
      </c>
      <c r="D14" s="67" t="s">
        <v>483</v>
      </c>
    </row>
    <row r="15" ht="12.0" customHeight="1">
      <c r="C15" s="67"/>
      <c r="D15" s="67" t="s">
        <v>484</v>
      </c>
    </row>
    <row r="16" ht="12.0" customHeight="1">
      <c r="C16" s="67"/>
      <c r="D16" s="67"/>
    </row>
    <row r="17" ht="12.0" customHeight="1">
      <c r="C17" s="67"/>
      <c r="D17" s="67"/>
    </row>
    <row r="18" ht="12.0" customHeight="1">
      <c r="C18" s="67"/>
      <c r="D18" s="239" t="s">
        <v>485</v>
      </c>
    </row>
    <row r="19" ht="12.0" customHeight="1">
      <c r="C19" s="67"/>
      <c r="D19" s="67" t="s">
        <v>486</v>
      </c>
      <c r="E19" s="258">
        <f>SOA!H25</f>
        <v>98.44</v>
      </c>
    </row>
    <row r="20" ht="12.0" customHeight="1">
      <c r="D20" s="67" t="s">
        <v>487</v>
      </c>
      <c r="E20" s="115">
        <v>1.5</v>
      </c>
      <c r="I20" s="43" t="s">
        <v>468</v>
      </c>
      <c r="K20" s="224"/>
      <c r="L20" s="224"/>
      <c r="M20" s="224"/>
    </row>
    <row r="21" ht="12.0" customHeight="1">
      <c r="D21" s="67" t="s">
        <v>488</v>
      </c>
      <c r="E21" s="115">
        <f>1/2*COUTMAX*VINMAX^2*0.000001</f>
        <v>0.63</v>
      </c>
      <c r="J21" s="239" t="s">
        <v>469</v>
      </c>
      <c r="K21" s="260" t="s">
        <v>470</v>
      </c>
      <c r="L21" s="260" t="s">
        <v>471</v>
      </c>
      <c r="M21" s="260" t="s">
        <v>472</v>
      </c>
    </row>
    <row r="22" ht="12.0" customHeight="1">
      <c r="D22" s="67" t="s">
        <v>489</v>
      </c>
      <c r="E22" s="257">
        <f>MAX(Equations!F67-E21,0)</f>
        <v>0</v>
      </c>
      <c r="I22" s="43" t="s">
        <v>473</v>
      </c>
      <c r="J22" s="43">
        <v>0.1</v>
      </c>
      <c r="K22" s="43">
        <v>1.0</v>
      </c>
      <c r="L22" s="224">
        <v>10.0</v>
      </c>
      <c r="M22" s="43">
        <v>100.0</v>
      </c>
    </row>
    <row r="23" ht="12.0" customHeight="1">
      <c r="D23" s="67" t="s">
        <v>490</v>
      </c>
      <c r="E23" s="115">
        <f>Equations!F66</f>
        <v>249.375</v>
      </c>
      <c r="I23" s="43" t="s">
        <v>474</v>
      </c>
      <c r="J23" s="43">
        <v>1.0</v>
      </c>
      <c r="K23" s="43">
        <v>10.0</v>
      </c>
      <c r="L23" s="224">
        <v>100.0</v>
      </c>
      <c r="M23" s="43">
        <v>1000.0</v>
      </c>
    </row>
    <row r="24" ht="12.0" customHeight="1">
      <c r="I24" s="43" t="s">
        <v>459</v>
      </c>
      <c r="J24" s="43">
        <f>SOA!C33</f>
        <v>16</v>
      </c>
      <c r="K24" s="43">
        <f>SOA!D33</f>
        <v>16</v>
      </c>
      <c r="L24" s="43">
        <f>SOA!E33</f>
        <v>12.85714286</v>
      </c>
      <c r="M24" s="43">
        <f>SOA!F33</f>
        <v>3.811111111</v>
      </c>
    </row>
    <row r="25" ht="12.0" customHeight="1">
      <c r="D25" s="115" t="s">
        <v>105</v>
      </c>
      <c r="E25" s="115">
        <f>'Design Calculator'!F68</f>
        <v>0</v>
      </c>
      <c r="I25" s="43" t="s">
        <v>460</v>
      </c>
      <c r="J25" s="224">
        <f>SOA!C34</f>
        <v>-0.9719712764</v>
      </c>
      <c r="K25" s="224">
        <f>SOA!D34</f>
        <v>-0.7269987279</v>
      </c>
      <c r="L25" s="224">
        <f>SOA!E34</f>
        <v>-0.6320232147</v>
      </c>
      <c r="M25" s="224">
        <f>SOA!F34</f>
        <v>-0.3679767853</v>
      </c>
    </row>
    <row r="26" ht="12.0" customHeight="1">
      <c r="D26" s="115" t="s">
        <v>106</v>
      </c>
      <c r="E26" s="115" t="str">
        <f>'Design Calculator'!F69</f>
        <v>Constant Current</v>
      </c>
    </row>
    <row r="27" ht="12.0" customHeight="1">
      <c r="D27" s="115" t="s">
        <v>108</v>
      </c>
      <c r="E27" s="115">
        <f>'Design Calculator'!F70</f>
        <v>0</v>
      </c>
      <c r="I27" s="253" t="s">
        <v>491</v>
      </c>
      <c r="J27" s="239" t="s">
        <v>436</v>
      </c>
    </row>
    <row r="28" ht="12.0" customHeight="1">
      <c r="G28" s="115" t="s">
        <v>492</v>
      </c>
      <c r="I28" s="214">
        <f t="shared" ref="I28:I29" si="1">SUM(E58:X58)</f>
        <v>0.12</v>
      </c>
      <c r="J28" s="214">
        <f>IF(I28=0, "NA", I28/AVERAGE(1, E32))</f>
        <v>0.134471864</v>
      </c>
    </row>
    <row r="29" ht="12.0" customHeight="1">
      <c r="D29" s="67" t="s">
        <v>493</v>
      </c>
      <c r="E29" s="115">
        <f>12/1</f>
        <v>12</v>
      </c>
      <c r="G29" s="115" t="s">
        <v>494</v>
      </c>
      <c r="I29" s="214">
        <f t="shared" si="1"/>
        <v>0.12</v>
      </c>
      <c r="J29" s="214">
        <f>IF(I29=0, "NA", I29*AVERAGE(1,E32))</f>
        <v>0.1070855982</v>
      </c>
    </row>
    <row r="30" ht="12.0" customHeight="1">
      <c r="D30" s="67" t="s">
        <v>495</v>
      </c>
      <c r="E30" s="115">
        <v>0.12</v>
      </c>
    </row>
    <row r="31" ht="12.0" customHeight="1">
      <c r="D31" s="67" t="s">
        <v>496</v>
      </c>
      <c r="E31" s="115">
        <v>20.0</v>
      </c>
    </row>
    <row r="32" ht="12.0" customHeight="1">
      <c r="D32" s="67" t="s">
        <v>497</v>
      </c>
      <c r="E32" s="115">
        <f>(E30/E29)^(1/(E31-1))</f>
        <v>0.7847599704</v>
      </c>
    </row>
    <row r="33" ht="12.0" customHeight="1">
      <c r="D33" s="67"/>
    </row>
    <row r="34" ht="12.0" customHeight="1">
      <c r="E34" s="115">
        <v>1.0</v>
      </c>
      <c r="F34" s="115">
        <v>2.0</v>
      </c>
      <c r="G34" s="115">
        <v>3.0</v>
      </c>
      <c r="H34" s="115">
        <v>4.0</v>
      </c>
      <c r="I34" s="115">
        <v>5.0</v>
      </c>
      <c r="J34" s="115">
        <v>6.0</v>
      </c>
      <c r="K34" s="115">
        <v>7.0</v>
      </c>
      <c r="L34" s="115">
        <v>8.0</v>
      </c>
      <c r="M34" s="115">
        <v>9.0</v>
      </c>
      <c r="N34" s="115">
        <v>10.0</v>
      </c>
      <c r="O34" s="115">
        <v>11.0</v>
      </c>
      <c r="P34" s="115">
        <v>12.0</v>
      </c>
      <c r="Q34" s="115">
        <v>13.0</v>
      </c>
      <c r="R34" s="115">
        <v>14.0</v>
      </c>
      <c r="S34" s="115">
        <v>15.0</v>
      </c>
      <c r="T34" s="115">
        <v>16.0</v>
      </c>
      <c r="U34" s="115">
        <v>17.0</v>
      </c>
      <c r="V34" s="115">
        <v>18.0</v>
      </c>
      <c r="W34" s="115">
        <v>19.0</v>
      </c>
      <c r="X34" s="115">
        <v>20.0</v>
      </c>
    </row>
    <row r="35" ht="12.0" customHeight="1">
      <c r="D35" s="261" t="s">
        <v>498</v>
      </c>
      <c r="E35" s="261">
        <f>E29</f>
        <v>12</v>
      </c>
      <c r="F35" s="261">
        <f t="shared" ref="F35:X35" si="2">E35*$E$32</f>
        <v>9.417119644</v>
      </c>
      <c r="G35" s="261">
        <f t="shared" si="2"/>
        <v>7.390178533</v>
      </c>
      <c r="H35" s="261">
        <f t="shared" si="2"/>
        <v>5.799516286</v>
      </c>
      <c r="I35" s="261">
        <f t="shared" si="2"/>
        <v>4.551228229</v>
      </c>
      <c r="J35" s="261">
        <f t="shared" si="2"/>
        <v>3.57162173</v>
      </c>
      <c r="K35" s="261">
        <f t="shared" si="2"/>
        <v>2.802865763</v>
      </c>
      <c r="L35" s="261">
        <f t="shared" si="2"/>
        <v>2.199576853</v>
      </c>
      <c r="M35" s="261">
        <f t="shared" si="2"/>
        <v>1.726139866</v>
      </c>
      <c r="N35" s="261">
        <f t="shared" si="2"/>
        <v>1.35460547</v>
      </c>
      <c r="O35" s="261">
        <f t="shared" si="2"/>
        <v>1.063040148</v>
      </c>
      <c r="P35" s="261">
        <f t="shared" si="2"/>
        <v>0.8342313554</v>
      </c>
      <c r="Q35" s="261">
        <f t="shared" si="2"/>
        <v>0.6546713737</v>
      </c>
      <c r="R35" s="261">
        <f t="shared" si="2"/>
        <v>0.5137598878</v>
      </c>
      <c r="S35" s="261">
        <f t="shared" si="2"/>
        <v>0.4031781944</v>
      </c>
      <c r="T35" s="261">
        <f t="shared" si="2"/>
        <v>0.3163981078</v>
      </c>
      <c r="U35" s="261">
        <f t="shared" si="2"/>
        <v>0.2482965697</v>
      </c>
      <c r="V35" s="261">
        <f t="shared" si="2"/>
        <v>0.1948532087</v>
      </c>
      <c r="W35" s="261">
        <f t="shared" si="2"/>
        <v>0.1529129983</v>
      </c>
      <c r="X35" s="261">
        <f t="shared" si="2"/>
        <v>0.12</v>
      </c>
    </row>
    <row r="36" ht="12.0" customHeight="1">
      <c r="D36" s="67" t="s">
        <v>499</v>
      </c>
      <c r="E36" s="115">
        <f>VINMAX/E35</f>
        <v>2.5</v>
      </c>
      <c r="F36" s="115">
        <f>VINMAX/F35</f>
        <v>3.185687464</v>
      </c>
      <c r="G36" s="115">
        <f>VINMAX/G35</f>
        <v>4.059441848</v>
      </c>
      <c r="H36" s="115">
        <f>VINMAX/H35</f>
        <v>5.172845203</v>
      </c>
      <c r="I36" s="115">
        <f>VINMAX/I35</f>
        <v>6.591627247</v>
      </c>
      <c r="J36" s="115">
        <f>VINMAX/J35</f>
        <v>8.399545716</v>
      </c>
      <c r="K36" s="115">
        <f>VINMAX/K35</f>
        <v>10.703331</v>
      </c>
      <c r="L36" s="115">
        <f>VINMAX/L35</f>
        <v>13.63898695</v>
      </c>
      <c r="M36" s="115">
        <f>VINMAX/M35</f>
        <v>17.3798199</v>
      </c>
      <c r="N36" s="115">
        <f>VINMAX/N35</f>
        <v>22.14666976</v>
      </c>
      <c r="O36" s="115">
        <f>VINMAX/O35</f>
        <v>28.22094729</v>
      </c>
      <c r="P36" s="115">
        <f>VINMAX/P35</f>
        <v>35.96124721</v>
      </c>
      <c r="Q36" s="115">
        <f>VINMAX/Q35</f>
        <v>45.82451777</v>
      </c>
      <c r="R36" s="115">
        <f>VINMAX/R35</f>
        <v>58.39303673</v>
      </c>
      <c r="S36" s="115">
        <f>VINMAX/S35</f>
        <v>74.40878604</v>
      </c>
      <c r="T36" s="115">
        <f>VINMAX/T35</f>
        <v>94.81725477</v>
      </c>
      <c r="U36" s="115">
        <f>VINMAX/U35</f>
        <v>120.823256</v>
      </c>
      <c r="V36" s="115">
        <f>VINMAX/V35</f>
        <v>153.9620528</v>
      </c>
      <c r="W36" s="115">
        <f>VINMAX/W35</f>
        <v>196.1899926</v>
      </c>
      <c r="X36" s="115">
        <f>VINMAX/X35</f>
        <v>250</v>
      </c>
    </row>
    <row r="37" ht="12.0" customHeight="1">
      <c r="D37" s="67" t="s">
        <v>500</v>
      </c>
      <c r="E37" s="115">
        <f>E35*COUTMAX/1000</f>
        <v>16.8</v>
      </c>
      <c r="F37" s="115">
        <f>F35*COUTMAX/1000</f>
        <v>13.1839675</v>
      </c>
      <c r="G37" s="115">
        <f>G35*COUTMAX/1000</f>
        <v>10.34624995</v>
      </c>
      <c r="H37" s="115">
        <f>H35*COUTMAX/1000</f>
        <v>8.119322801</v>
      </c>
      <c r="I37" s="115">
        <f>I35*COUTMAX/1000</f>
        <v>6.37171952</v>
      </c>
      <c r="J37" s="115">
        <f>J35*COUTMAX/1000</f>
        <v>5.000270422</v>
      </c>
      <c r="K37" s="115">
        <f>K35*COUTMAX/1000</f>
        <v>3.924012068</v>
      </c>
      <c r="L37" s="115">
        <f>L35*COUTMAX/1000</f>
        <v>3.079407594</v>
      </c>
      <c r="M37" s="115">
        <f>M35*COUTMAX/1000</f>
        <v>2.416595812</v>
      </c>
      <c r="N37" s="115">
        <f>N35*COUTMAX/1000</f>
        <v>1.896447658</v>
      </c>
      <c r="O37" s="115">
        <f>O35*COUTMAX/1000</f>
        <v>1.488256208</v>
      </c>
      <c r="P37" s="115">
        <f>P35*COUTMAX/1000</f>
        <v>1.167923898</v>
      </c>
      <c r="Q37" s="115">
        <f>Q35*COUTMAX/1000</f>
        <v>0.9165399232</v>
      </c>
      <c r="R37" s="115">
        <f>R35*COUTMAX/1000</f>
        <v>0.719263843</v>
      </c>
      <c r="S37" s="115">
        <f>S35*COUTMAX/1000</f>
        <v>0.5644494721</v>
      </c>
      <c r="T37" s="115">
        <f>T35*COUTMAX/1000</f>
        <v>0.442957351</v>
      </c>
      <c r="U37" s="115">
        <f>U35*COUTMAX/1000</f>
        <v>0.3476151976</v>
      </c>
      <c r="V37" s="115">
        <f>V35*COUTMAX/1000</f>
        <v>0.2727944922</v>
      </c>
      <c r="W37" s="115">
        <f>W35*COUTMAX/1000</f>
        <v>0.2140781976</v>
      </c>
      <c r="X37" s="115">
        <f>X35*COUTMAX/1000</f>
        <v>0.168</v>
      </c>
    </row>
    <row r="38" ht="12.0" customHeight="1">
      <c r="D38" s="67" t="s">
        <v>501</v>
      </c>
      <c r="E38" s="257">
        <f t="shared" ref="E38:X38" si="3">$E$21+$E$22*E36/$E$23</f>
        <v>0.63</v>
      </c>
      <c r="F38" s="257">
        <f t="shared" si="3"/>
        <v>0.63</v>
      </c>
      <c r="G38" s="257">
        <f t="shared" si="3"/>
        <v>0.63</v>
      </c>
      <c r="H38" s="257">
        <f t="shared" si="3"/>
        <v>0.63</v>
      </c>
      <c r="I38" s="257">
        <f t="shared" si="3"/>
        <v>0.63</v>
      </c>
      <c r="J38" s="257">
        <f t="shared" si="3"/>
        <v>0.63</v>
      </c>
      <c r="K38" s="257">
        <f t="shared" si="3"/>
        <v>0.63</v>
      </c>
      <c r="L38" s="257">
        <f t="shared" si="3"/>
        <v>0.63</v>
      </c>
      <c r="M38" s="257">
        <f t="shared" si="3"/>
        <v>0.63</v>
      </c>
      <c r="N38" s="257">
        <f t="shared" si="3"/>
        <v>0.63</v>
      </c>
      <c r="O38" s="257">
        <f t="shared" si="3"/>
        <v>0.63</v>
      </c>
      <c r="P38" s="257">
        <f t="shared" si="3"/>
        <v>0.63</v>
      </c>
      <c r="Q38" s="257">
        <f t="shared" si="3"/>
        <v>0.63</v>
      </c>
      <c r="R38" s="257">
        <f t="shared" si="3"/>
        <v>0.63</v>
      </c>
      <c r="S38" s="257">
        <f t="shared" si="3"/>
        <v>0.63</v>
      </c>
      <c r="T38" s="257">
        <f t="shared" si="3"/>
        <v>0.63</v>
      </c>
      <c r="U38" s="257">
        <f t="shared" si="3"/>
        <v>0.63</v>
      </c>
      <c r="V38" s="257">
        <f t="shared" si="3"/>
        <v>0.63</v>
      </c>
      <c r="W38" s="257">
        <f t="shared" si="3"/>
        <v>0.63</v>
      </c>
      <c r="X38" s="257">
        <f t="shared" si="3"/>
        <v>0.63</v>
      </c>
    </row>
    <row r="39" ht="12.0" customHeight="1">
      <c r="D39" s="67" t="s">
        <v>502</v>
      </c>
      <c r="E39" s="115">
        <f>(E37+IF($E$26="Resistive",0,IF($E$25=0,$E$27,0)))*VINMAX</f>
        <v>504</v>
      </c>
      <c r="F39" s="115">
        <f>(F37+IF($E$26="Resistive",0,IF($E$25=0,$E$27,0)))*VINMAX</f>
        <v>395.5190251</v>
      </c>
      <c r="G39" s="115">
        <f>(G37+IF($E$26="Resistive",0,IF($E$25=0,$E$27,0)))*VINMAX</f>
        <v>310.3874984</v>
      </c>
      <c r="H39" s="115">
        <f>(H37+IF($E$26="Resistive",0,IF($E$25=0,$E$27,0)))*VINMAX</f>
        <v>243.579684</v>
      </c>
      <c r="I39" s="115">
        <f>(I37+IF($E$26="Resistive",0,IF($E$25=0,$E$27,0)))*VINMAX</f>
        <v>191.1515856</v>
      </c>
      <c r="J39" s="115">
        <f>(J37+IF($E$26="Resistive",0,IF($E$25=0,$E$27,0)))*VINMAX</f>
        <v>150.0081127</v>
      </c>
      <c r="K39" s="115">
        <f>(K37+IF($E$26="Resistive",0,IF($E$25=0,$E$27,0)))*VINMAX</f>
        <v>117.720362</v>
      </c>
      <c r="L39" s="115">
        <f>(L37+IF($E$26="Resistive",0,IF($E$25=0,$E$27,0)))*VINMAX</f>
        <v>92.38222783</v>
      </c>
      <c r="M39" s="115">
        <f>(M37+IF($E$26="Resistive",0,IF($E$25=0,$E$27,0)))*VINMAX</f>
        <v>72.49787437</v>
      </c>
      <c r="N39" s="115">
        <f>(N37+IF($E$26="Resistive",0,IF($E$25=0,$E$27,0)))*VINMAX</f>
        <v>56.89342974</v>
      </c>
      <c r="O39" s="115">
        <f>(O37+IF($E$26="Resistive",0,IF($E$25=0,$E$27,0)))*VINMAX</f>
        <v>44.64768624</v>
      </c>
      <c r="P39" s="115">
        <f>(P37+IF($E$26="Resistive",0,IF($E$25=0,$E$27,0)))*VINMAX</f>
        <v>35.03771693</v>
      </c>
      <c r="Q39" s="115">
        <f>(Q37+IF($E$26="Resistive",0,IF($E$25=0,$E$27,0)))*VINMAX</f>
        <v>27.4961977</v>
      </c>
      <c r="R39" s="115">
        <f>(R37+IF($E$26="Resistive",0,IF($E$25=0,$E$27,0)))*VINMAX</f>
        <v>21.57791529</v>
      </c>
      <c r="S39" s="115">
        <f>(S37+IF($E$26="Resistive",0,IF($E$25=0,$E$27,0)))*VINMAX</f>
        <v>16.93348416</v>
      </c>
      <c r="T39" s="115">
        <f>(T37+IF($E$26="Resistive",0,IF($E$25=0,$E$27,0)))*VINMAX</f>
        <v>13.28872053</v>
      </c>
      <c r="U39" s="115">
        <f>(U37+IF($E$26="Resistive",0,IF($E$25=0,$E$27,0)))*VINMAX</f>
        <v>10.42845593</v>
      </c>
      <c r="V39" s="115">
        <f>(V37+IF($E$26="Resistive",0,IF($E$25=0,$E$27,0)))*VINMAX</f>
        <v>8.183834766</v>
      </c>
      <c r="W39" s="115">
        <f>(W37+IF($E$26="Resistive",0,IF($E$25=0,$E$27,0)))*VINMAX</f>
        <v>6.422345928</v>
      </c>
      <c r="X39" s="115">
        <f>(X37+IF($E$26="Resistive",0,IF($E$25=0,$E$27,0)))*VINMAX</f>
        <v>5.04</v>
      </c>
    </row>
    <row r="40" ht="12.0" customHeight="1">
      <c r="D40" s="67" t="s">
        <v>503</v>
      </c>
      <c r="E40" s="115">
        <f>(E37+IF($E$26="Resistive", $E$25/$E$27,$E$27)) *(VINMAX-$E$25)</f>
        <v>504</v>
      </c>
      <c r="F40" s="115">
        <f>(F37+IF($E$26="Resistive", $E$25/$E$27,$E$27)) *(VINMAX-$E$25)</f>
        <v>395.5190251</v>
      </c>
      <c r="G40" s="115">
        <f>(G37+IF($E$26="Resistive", $E$25/$E$27,$E$27)) *(VINMAX-$E$25)</f>
        <v>310.3874984</v>
      </c>
      <c r="H40" s="115">
        <f>(H37+IF($E$26="Resistive", $E$25/$E$27,$E$27)) *(VINMAX-$E$25)</f>
        <v>243.579684</v>
      </c>
      <c r="I40" s="115">
        <f>(I37+IF($E$26="Resistive", $E$25/$E$27,$E$27)) *(VINMAX-$E$25)</f>
        <v>191.1515856</v>
      </c>
      <c r="J40" s="115">
        <f>(J37+IF($E$26="Resistive", $E$25/$E$27,$E$27)) *(VINMAX-$E$25)</f>
        <v>150.0081127</v>
      </c>
      <c r="K40" s="115">
        <f>(K37+IF($E$26="Resistive", $E$25/$E$27,$E$27)) *(VINMAX-$E$25)</f>
        <v>117.720362</v>
      </c>
      <c r="L40" s="115">
        <f>(L37+IF($E$26="Resistive", $E$25/$E$27,$E$27)) *(VINMAX-$E$25)</f>
        <v>92.38222783</v>
      </c>
      <c r="M40" s="115">
        <f>(M37+IF($E$26="Resistive", $E$25/$E$27,$E$27)) *(VINMAX-$E$25)</f>
        <v>72.49787437</v>
      </c>
      <c r="N40" s="115">
        <f>(N37+IF($E$26="Resistive", $E$25/$E$27,$E$27)) *(VINMAX-$E$25)</f>
        <v>56.89342974</v>
      </c>
      <c r="O40" s="115">
        <f>(O37+IF($E$26="Resistive", $E$25/$E$27,$E$27)) *(VINMAX-$E$25)</f>
        <v>44.64768624</v>
      </c>
      <c r="P40" s="115">
        <f>(P37+IF($E$26="Resistive", $E$25/$E$27,$E$27)) *(VINMAX-$E$25)</f>
        <v>35.03771693</v>
      </c>
      <c r="Q40" s="115">
        <f>(Q37+IF($E$26="Resistive", $E$25/$E$27,$E$27)) *(VINMAX-$E$25)</f>
        <v>27.4961977</v>
      </c>
      <c r="R40" s="115">
        <f>(R37+IF($E$26="Resistive", $E$25/$E$27,$E$27)) *(VINMAX-$E$25)</f>
        <v>21.57791529</v>
      </c>
      <c r="S40" s="115">
        <f>(S37+IF($E$26="Resistive", $E$25/$E$27,$E$27)) *(VINMAX-$E$25)</f>
        <v>16.93348416</v>
      </c>
      <c r="T40" s="115">
        <f>(T37+IF($E$26="Resistive", $E$25/$E$27,$E$27)) *(VINMAX-$E$25)</f>
        <v>13.28872053</v>
      </c>
      <c r="U40" s="115">
        <f>(U37+IF($E$26="Resistive", $E$25/$E$27,$E$27)) *(VINMAX-$E$25)</f>
        <v>10.42845593</v>
      </c>
      <c r="V40" s="115">
        <f>(V37+IF($E$26="Resistive", $E$25/$E$27,$E$27)) *(VINMAX-$E$25)</f>
        <v>8.183834766</v>
      </c>
      <c r="W40" s="115">
        <f>(W37+IF($E$26="Resistive", $E$25/$E$27,$E$27)) *(VINMAX-$E$25)</f>
        <v>6.422345928</v>
      </c>
      <c r="X40" s="115">
        <f>(X37+IF($E$26="Resistive", $E$25/$E$27,$E$27)) *(VINMAX-$E$25)</f>
        <v>5.04</v>
      </c>
    </row>
    <row r="41" ht="12.0" customHeight="1">
      <c r="D41" s="67" t="s">
        <v>504</v>
      </c>
      <c r="E41" s="115">
        <f>IF($E$26="Resistive", -$E$27*E37/2 + VINMAX/2, -1)</f>
        <v>-1</v>
      </c>
      <c r="F41" s="115">
        <f>IF($E$26="Resistive", -$E$27*F37/2 + VINMAX/2, -1)</f>
        <v>-1</v>
      </c>
      <c r="G41" s="115">
        <f>IF($E$26="Resistive", -$E$27*G37/2 + VINMAX/2, -1)</f>
        <v>-1</v>
      </c>
      <c r="H41" s="115">
        <f>IF($E$26="Resistive", -$E$27*H37/2 + VINMAX/2, -1)</f>
        <v>-1</v>
      </c>
      <c r="I41" s="115">
        <f>IF($E$26="Resistive", -$E$27*I37/2 + VINMAX/2, -1)</f>
        <v>-1</v>
      </c>
      <c r="J41" s="115">
        <f>IF($E$26="Resistive", -$E$27*J37/2 + VINMAX/2, -1)</f>
        <v>-1</v>
      </c>
      <c r="K41" s="115">
        <f>IF($E$26="Resistive", -$E$27*K37/2 + VINMAX/2, -1)</f>
        <v>-1</v>
      </c>
      <c r="L41" s="115">
        <f>IF($E$26="Resistive", -$E$27*L37/2 + VINMAX/2, -1)</f>
        <v>-1</v>
      </c>
      <c r="M41" s="115">
        <f>IF($E$26="Resistive", -$E$27*M37/2 + VINMAX/2, -1)</f>
        <v>-1</v>
      </c>
      <c r="N41" s="115">
        <f>IF($E$26="Resistive", -$E$27*N37/2 + VINMAX/2, -1)</f>
        <v>-1</v>
      </c>
      <c r="O41" s="115">
        <f>IF($E$26="Resistive", -$E$27*O37/2 + VINMAX/2, -1)</f>
        <v>-1</v>
      </c>
      <c r="P41" s="115">
        <f>IF($E$26="Resistive", -$E$27*P37/2 + VINMAX/2, -1)</f>
        <v>-1</v>
      </c>
      <c r="Q41" s="115">
        <f>IF($E$26="Resistive", -$E$27*Q37/2 + VINMAX/2, -1)</f>
        <v>-1</v>
      </c>
      <c r="R41" s="115">
        <f>IF($E$26="Resistive", -$E$27*R37/2 + VINMAX/2, -1)</f>
        <v>-1</v>
      </c>
      <c r="S41" s="115">
        <f>IF($E$26="Resistive", -$E$27*S37/2 + VINMAX/2, -1)</f>
        <v>-1</v>
      </c>
      <c r="T41" s="115">
        <f>IF($E$26="Resistive", -$E$27*T37/2 + VINMAX/2, -1)</f>
        <v>-1</v>
      </c>
      <c r="U41" s="115">
        <f>IF($E$26="Resistive", -$E$27*U37/2 + VINMAX/2, -1)</f>
        <v>-1</v>
      </c>
      <c r="V41" s="115">
        <f>IF($E$26="Resistive", -$E$27*V37/2 + VINMAX/2, -1)</f>
        <v>-1</v>
      </c>
      <c r="W41" s="115">
        <f>IF($E$26="Resistive", -$E$27*W37/2 + VINMAX/2, -1)</f>
        <v>-1</v>
      </c>
      <c r="X41" s="115">
        <f>IF($E$26="Resistive", -$E$27*X37/2 + VINMAX/2, -1)</f>
        <v>-1</v>
      </c>
    </row>
    <row r="42" ht="12.0" customHeight="1">
      <c r="D42" s="67" t="s">
        <v>505</v>
      </c>
      <c r="E42" s="115">
        <f>IF(AND(E41&lt;VINMAX, E41&gt;$E$25), (VINMAX-E41)*(E37+E41/$E$27), 0)</f>
        <v>0</v>
      </c>
      <c r="F42" s="115">
        <f>IF(AND(F41&lt;VINMAX, F41&gt;$E$25), (VINMAX-F41)*(F37+F41/$E$27), 0)</f>
        <v>0</v>
      </c>
      <c r="G42" s="115">
        <f>IF(AND(G41&lt;VINMAX, G41&gt;$E$25), (VINMAX-G41)*(G37+G41/$E$27), 0)</f>
        <v>0</v>
      </c>
      <c r="H42" s="115">
        <f>IF(AND(H41&lt;VINMAX, H41&gt;$E$25), (VINMAX-H41)*(H37+H41/$E$27), 0)</f>
        <v>0</v>
      </c>
      <c r="I42" s="115">
        <f>IF(AND(I41&lt;VINMAX, I41&gt;$E$25), (VINMAX-I41)*(I37+I41/$E$27), 0)</f>
        <v>0</v>
      </c>
      <c r="J42" s="115">
        <f>IF(AND(J41&lt;VINMAX, J41&gt;$E$25), (VINMAX-J41)*(J37+J41/$E$27), 0)</f>
        <v>0</v>
      </c>
      <c r="K42" s="115">
        <f>IF(AND(K41&lt;VINMAX, K41&gt;$E$25), (VINMAX-K41)*(K37+K41/$E$27), 0)</f>
        <v>0</v>
      </c>
      <c r="L42" s="115">
        <f>IF(AND(L41&lt;VINMAX, L41&gt;$E$25), (VINMAX-L41)*(L37+L41/$E$27), 0)</f>
        <v>0</v>
      </c>
      <c r="M42" s="115">
        <f>IF(AND(M41&lt;VINMAX, M41&gt;$E$25), (VINMAX-M41)*(M37+M41/$E$27), 0)</f>
        <v>0</v>
      </c>
      <c r="N42" s="115">
        <f>IF(AND(N41&lt;VINMAX, N41&gt;$E$25), (VINMAX-N41)*(N37+N41/$E$27), 0)</f>
        <v>0</v>
      </c>
      <c r="O42" s="115">
        <f>IF(AND(O41&lt;VINMAX, O41&gt;$E$25), (VINMAX-O41)*(O37+O41/$E$27), 0)</f>
        <v>0</v>
      </c>
      <c r="P42" s="115">
        <f>IF(AND(P41&lt;VINMAX, P41&gt;$E$25), (VINMAX-P41)*(P37+P41/$E$27), 0)</f>
        <v>0</v>
      </c>
      <c r="Q42" s="115">
        <f>IF(AND(Q41&lt;VINMAX, Q41&gt;$E$25), (VINMAX-Q41)*(Q37+Q41/$E$27), 0)</f>
        <v>0</v>
      </c>
      <c r="R42" s="115">
        <f>IF(AND(R41&lt;VINMAX, R41&gt;$E$25), (VINMAX-R41)*(R37+R41/$E$27), 0)</f>
        <v>0</v>
      </c>
      <c r="S42" s="115">
        <f>IF(AND(S41&lt;VINMAX, S41&gt;$E$25), (VINMAX-S41)*(S37+S41/$E$27), 0)</f>
        <v>0</v>
      </c>
      <c r="T42" s="115">
        <f>IF(AND(T41&lt;VINMAX, T41&gt;$E$25), (VINMAX-T41)*(T37+T41/$E$27), 0)</f>
        <v>0</v>
      </c>
      <c r="U42" s="115">
        <f>IF(AND(U41&lt;VINMAX, U41&gt;$E$25), (VINMAX-U41)*(U37+U41/$E$27), 0)</f>
        <v>0</v>
      </c>
      <c r="V42" s="115">
        <f>IF(AND(V41&lt;VINMAX, V41&gt;$E$25), (VINMAX-V41)*(V37+V41/$E$27), 0)</f>
        <v>0</v>
      </c>
      <c r="W42" s="115">
        <f>IF(AND(W41&lt;VINMAX, W41&gt;$E$25), (VINMAX-W41)*(W37+W41/$E$27), 0)</f>
        <v>0</v>
      </c>
      <c r="X42" s="115">
        <f>IF(AND(X41&lt;VINMAX, X41&gt;$E$25), (VINMAX-X41)*(X37+X41/$E$27), 0)</f>
        <v>0</v>
      </c>
    </row>
    <row r="43" ht="12.0" customHeight="1"/>
    <row r="44" ht="12.0" customHeight="1">
      <c r="D44" s="67" t="s">
        <v>506</v>
      </c>
      <c r="E44" s="115">
        <f t="shared" ref="E44:X44" si="4">MAX(E39,E40,E42)</f>
        <v>504</v>
      </c>
      <c r="F44" s="115">
        <f t="shared" si="4"/>
        <v>395.5190251</v>
      </c>
      <c r="G44" s="115">
        <f t="shared" si="4"/>
        <v>310.3874984</v>
      </c>
      <c r="H44" s="115">
        <f t="shared" si="4"/>
        <v>243.579684</v>
      </c>
      <c r="I44" s="115">
        <f t="shared" si="4"/>
        <v>191.1515856</v>
      </c>
      <c r="J44" s="115">
        <f t="shared" si="4"/>
        <v>150.0081127</v>
      </c>
      <c r="K44" s="115">
        <f t="shared" si="4"/>
        <v>117.720362</v>
      </c>
      <c r="L44" s="115">
        <f t="shared" si="4"/>
        <v>92.38222783</v>
      </c>
      <c r="M44" s="115">
        <f t="shared" si="4"/>
        <v>72.49787437</v>
      </c>
      <c r="N44" s="115">
        <f t="shared" si="4"/>
        <v>56.89342974</v>
      </c>
      <c r="O44" s="115">
        <f t="shared" si="4"/>
        <v>44.64768624</v>
      </c>
      <c r="P44" s="115">
        <f t="shared" si="4"/>
        <v>35.03771693</v>
      </c>
      <c r="Q44" s="115">
        <f t="shared" si="4"/>
        <v>27.4961977</v>
      </c>
      <c r="R44" s="115">
        <f t="shared" si="4"/>
        <v>21.57791529</v>
      </c>
      <c r="S44" s="115">
        <f t="shared" si="4"/>
        <v>16.93348416</v>
      </c>
      <c r="T44" s="115">
        <f t="shared" si="4"/>
        <v>13.28872053</v>
      </c>
      <c r="U44" s="115">
        <f t="shared" si="4"/>
        <v>10.42845593</v>
      </c>
      <c r="V44" s="115">
        <f t="shared" si="4"/>
        <v>8.183834766</v>
      </c>
      <c r="W44" s="115">
        <f t="shared" si="4"/>
        <v>6.422345928</v>
      </c>
      <c r="X44" s="115">
        <f t="shared" si="4"/>
        <v>5.04</v>
      </c>
    </row>
    <row r="45" ht="12.0" customHeight="1">
      <c r="D45" s="67" t="s">
        <v>507</v>
      </c>
      <c r="E45" s="257">
        <f t="shared" ref="E45:X45" si="5">E38/E44*1000</f>
        <v>1.25</v>
      </c>
      <c r="F45" s="257">
        <f t="shared" si="5"/>
        <v>1.592843732</v>
      </c>
      <c r="G45" s="257">
        <f t="shared" si="5"/>
        <v>2.029720924</v>
      </c>
      <c r="H45" s="257">
        <f t="shared" si="5"/>
        <v>2.586422601</v>
      </c>
      <c r="I45" s="257">
        <f t="shared" si="5"/>
        <v>3.295813623</v>
      </c>
      <c r="J45" s="257">
        <f t="shared" si="5"/>
        <v>4.199772858</v>
      </c>
      <c r="K45" s="257">
        <f t="shared" si="5"/>
        <v>5.351665498</v>
      </c>
      <c r="L45" s="257">
        <f t="shared" si="5"/>
        <v>6.819493476</v>
      </c>
      <c r="M45" s="257">
        <f t="shared" si="5"/>
        <v>8.689909952</v>
      </c>
      <c r="N45" s="257">
        <f t="shared" si="5"/>
        <v>11.07333488</v>
      </c>
      <c r="O45" s="257">
        <f t="shared" si="5"/>
        <v>14.11047365</v>
      </c>
      <c r="P45" s="257">
        <f t="shared" si="5"/>
        <v>17.9806236</v>
      </c>
      <c r="Q45" s="257">
        <f t="shared" si="5"/>
        <v>22.91225889</v>
      </c>
      <c r="R45" s="257">
        <f t="shared" si="5"/>
        <v>29.19651836</v>
      </c>
      <c r="S45" s="257">
        <f t="shared" si="5"/>
        <v>37.20439302</v>
      </c>
      <c r="T45" s="257">
        <f t="shared" si="5"/>
        <v>47.40862738</v>
      </c>
      <c r="U45" s="257">
        <f t="shared" si="5"/>
        <v>60.41162798</v>
      </c>
      <c r="V45" s="257">
        <f t="shared" si="5"/>
        <v>76.98102638</v>
      </c>
      <c r="W45" s="257">
        <f t="shared" si="5"/>
        <v>98.09499629</v>
      </c>
      <c r="X45" s="257">
        <f t="shared" si="5"/>
        <v>125</v>
      </c>
    </row>
    <row r="46" ht="12.0" customHeight="1"/>
    <row r="47" ht="12.0" customHeight="1">
      <c r="D47" s="67" t="s">
        <v>459</v>
      </c>
      <c r="E47" s="115">
        <f t="shared" ref="E47:X47" si="6">IF(E45&lt;$J$23,$J$24,IF(E45&lt;$K$23,$K$24,IF(E45&lt;$L$23,$L$24,$M$24)))</f>
        <v>16</v>
      </c>
      <c r="F47" s="115">
        <f t="shared" si="6"/>
        <v>16</v>
      </c>
      <c r="G47" s="115">
        <f t="shared" si="6"/>
        <v>16</v>
      </c>
      <c r="H47" s="115">
        <f t="shared" si="6"/>
        <v>16</v>
      </c>
      <c r="I47" s="115">
        <f t="shared" si="6"/>
        <v>16</v>
      </c>
      <c r="J47" s="115">
        <f t="shared" si="6"/>
        <v>16</v>
      </c>
      <c r="K47" s="115">
        <f t="shared" si="6"/>
        <v>16</v>
      </c>
      <c r="L47" s="115">
        <f t="shared" si="6"/>
        <v>16</v>
      </c>
      <c r="M47" s="115">
        <f t="shared" si="6"/>
        <v>16</v>
      </c>
      <c r="N47" s="115">
        <f t="shared" si="6"/>
        <v>12.85714286</v>
      </c>
      <c r="O47" s="115">
        <f t="shared" si="6"/>
        <v>12.85714286</v>
      </c>
      <c r="P47" s="115">
        <f t="shared" si="6"/>
        <v>12.85714286</v>
      </c>
      <c r="Q47" s="115">
        <f t="shared" si="6"/>
        <v>12.85714286</v>
      </c>
      <c r="R47" s="115">
        <f t="shared" si="6"/>
        <v>12.85714286</v>
      </c>
      <c r="S47" s="115">
        <f t="shared" si="6"/>
        <v>12.85714286</v>
      </c>
      <c r="T47" s="115">
        <f t="shared" si="6"/>
        <v>12.85714286</v>
      </c>
      <c r="U47" s="115">
        <f t="shared" si="6"/>
        <v>12.85714286</v>
      </c>
      <c r="V47" s="115">
        <f t="shared" si="6"/>
        <v>12.85714286</v>
      </c>
      <c r="W47" s="115">
        <f t="shared" si="6"/>
        <v>12.85714286</v>
      </c>
      <c r="X47" s="115">
        <f t="shared" si="6"/>
        <v>3.811111111</v>
      </c>
    </row>
    <row r="48" ht="12.0" customHeight="1">
      <c r="D48" s="67" t="s">
        <v>460</v>
      </c>
      <c r="E48" s="256">
        <f t="shared" ref="E48:X48" si="7">IF(E45&lt;$J$23,$J$25,IF(E45&lt;$K$23,$K$25,IF(E45&lt;$L$23,$L$25,$M$25)))</f>
        <v>-0.7269987279</v>
      </c>
      <c r="F48" s="256">
        <f t="shared" si="7"/>
        <v>-0.7269987279</v>
      </c>
      <c r="G48" s="256">
        <f t="shared" si="7"/>
        <v>-0.7269987279</v>
      </c>
      <c r="H48" s="256">
        <f t="shared" si="7"/>
        <v>-0.7269987279</v>
      </c>
      <c r="I48" s="256">
        <f t="shared" si="7"/>
        <v>-0.7269987279</v>
      </c>
      <c r="J48" s="256">
        <f t="shared" si="7"/>
        <v>-0.7269987279</v>
      </c>
      <c r="K48" s="256">
        <f t="shared" si="7"/>
        <v>-0.7269987279</v>
      </c>
      <c r="L48" s="256">
        <f t="shared" si="7"/>
        <v>-0.7269987279</v>
      </c>
      <c r="M48" s="256">
        <f t="shared" si="7"/>
        <v>-0.7269987279</v>
      </c>
      <c r="N48" s="256">
        <f t="shared" si="7"/>
        <v>-0.6320232147</v>
      </c>
      <c r="O48" s="256">
        <f t="shared" si="7"/>
        <v>-0.6320232147</v>
      </c>
      <c r="P48" s="256">
        <f t="shared" si="7"/>
        <v>-0.6320232147</v>
      </c>
      <c r="Q48" s="256">
        <f t="shared" si="7"/>
        <v>-0.6320232147</v>
      </c>
      <c r="R48" s="256">
        <f t="shared" si="7"/>
        <v>-0.6320232147</v>
      </c>
      <c r="S48" s="256">
        <f t="shared" si="7"/>
        <v>-0.6320232147</v>
      </c>
      <c r="T48" s="256">
        <f t="shared" si="7"/>
        <v>-0.6320232147</v>
      </c>
      <c r="U48" s="256">
        <f t="shared" si="7"/>
        <v>-0.6320232147</v>
      </c>
      <c r="V48" s="256">
        <f t="shared" si="7"/>
        <v>-0.6320232147</v>
      </c>
      <c r="W48" s="256">
        <f t="shared" si="7"/>
        <v>-0.6320232147</v>
      </c>
      <c r="X48" s="256">
        <f t="shared" si="7"/>
        <v>-0.3679767853</v>
      </c>
    </row>
    <row r="49" ht="12.0" customHeight="1"/>
    <row r="50" ht="12.0" customHeight="1">
      <c r="D50" s="67" t="s">
        <v>508</v>
      </c>
      <c r="E50" s="115">
        <f>E47*E45^E48*VINMAX</f>
        <v>408.119909</v>
      </c>
      <c r="F50" s="115">
        <f>F47*F45^F48*VINMAX</f>
        <v>342.1854975</v>
      </c>
      <c r="G50" s="115">
        <f>G47*G45^G48*VINMAX</f>
        <v>286.9032167</v>
      </c>
      <c r="H50" s="115">
        <f>H47*H45^H48*VINMAX</f>
        <v>240.5521459</v>
      </c>
      <c r="I50" s="115">
        <f>I47*I45^I48*VINMAX</f>
        <v>201.6893905</v>
      </c>
      <c r="J50" s="115">
        <f>J47*J45^J48*VINMAX</f>
        <v>169.1051647</v>
      </c>
      <c r="K50" s="115">
        <f>K47*K45^K48*VINMAX</f>
        <v>141.7851314</v>
      </c>
      <c r="L50" s="115">
        <f>L47*L45^L48*VINMAX</f>
        <v>118.8788261</v>
      </c>
      <c r="M50" s="115">
        <f>M47*M45^M48*VINMAX</f>
        <v>99.6731827</v>
      </c>
      <c r="N50" s="115">
        <f>N47*N45^N48*VINMAX</f>
        <v>84.38349542</v>
      </c>
      <c r="O50" s="115">
        <f>O47*O45^O48*VINMAX</f>
        <v>72.39836388</v>
      </c>
      <c r="P50" s="115">
        <f>P47*P45^P48*VINMAX</f>
        <v>62.11550098</v>
      </c>
      <c r="Q50" s="115">
        <f>Q47*Q45^Q48*VINMAX</f>
        <v>53.29313061</v>
      </c>
      <c r="R50" s="115">
        <f>R47*R45^R48*VINMAX</f>
        <v>45.72381653</v>
      </c>
      <c r="S50" s="115">
        <f>S47*S45^S48*VINMAX</f>
        <v>39.22958501</v>
      </c>
      <c r="T50" s="115">
        <f>T47*T45^T48*VINMAX</f>
        <v>33.65774025</v>
      </c>
      <c r="U50" s="115">
        <f>U47*U45^U48*VINMAX</f>
        <v>28.8772741</v>
      </c>
      <c r="V50" s="115">
        <f>V47*V45^V48*VINMAX</f>
        <v>24.77578569</v>
      </c>
      <c r="W50" s="115">
        <f>W47*W45^W48*VINMAX</f>
        <v>21.25683866</v>
      </c>
      <c r="X50" s="115">
        <f>X47*X45^X48*VINMAX</f>
        <v>19.34455126</v>
      </c>
    </row>
    <row r="51" ht="12.0" customHeight="1">
      <c r="D51" s="67" t="s">
        <v>509</v>
      </c>
      <c r="E51" s="115">
        <f>E50*(TJMAX-$E$19)/(TJMAX - 25)</f>
        <v>168.3413001</v>
      </c>
      <c r="F51" s="115">
        <f>F50*(TJMAX-$E$19)/(TJMAX - 25)</f>
        <v>141.144674</v>
      </c>
      <c r="G51" s="115">
        <f>G50*(TJMAX-$E$19)/(TJMAX - 25)</f>
        <v>118.3418388</v>
      </c>
      <c r="H51" s="115">
        <f>H50*(TJMAX-$E$19)/(TJMAX - 25)</f>
        <v>99.22294915</v>
      </c>
      <c r="I51" s="115">
        <f>I50*(TJMAX-$E$19)/(TJMAX - 25)</f>
        <v>83.19283981</v>
      </c>
      <c r="J51" s="115">
        <f>J50*(TJMAX-$E$19)/(TJMAX - 25)</f>
        <v>69.75249834</v>
      </c>
      <c r="K51" s="115">
        <f>K50*(TJMAX-$E$19)/(TJMAX - 25)</f>
        <v>58.48353098</v>
      </c>
      <c r="L51" s="115">
        <f>L50*(TJMAX-$E$19)/(TJMAX - 25)</f>
        <v>49.0351382</v>
      </c>
      <c r="M51" s="115">
        <f>M50*(TJMAX-$E$19)/(TJMAX - 25)</f>
        <v>41.1131944</v>
      </c>
      <c r="N51" s="115">
        <f>N50*(TJMAX-$E$19)/(TJMAX - 25)</f>
        <v>34.80650419</v>
      </c>
      <c r="O51" s="115">
        <f>O50*(TJMAX-$E$19)/(TJMAX - 25)</f>
        <v>29.86287713</v>
      </c>
      <c r="P51" s="115">
        <f>P50*(TJMAX-$E$19)/(TJMAX - 25)</f>
        <v>25.62140185</v>
      </c>
      <c r="Q51" s="115">
        <f>Q50*(TJMAX-$E$19)/(TJMAX - 25)</f>
        <v>21.98235052</v>
      </c>
      <c r="R51" s="115">
        <f>R50*(TJMAX-$E$19)/(TJMAX - 25)</f>
        <v>18.86015984</v>
      </c>
      <c r="S51" s="115">
        <f>S50*(TJMAX-$E$19)/(TJMAX - 25)</f>
        <v>16.18141923</v>
      </c>
      <c r="T51" s="115">
        <f>T50*(TJMAX-$E$19)/(TJMAX - 25)</f>
        <v>13.8831447</v>
      </c>
      <c r="U51" s="115">
        <f>U50*(TJMAX-$E$19)/(TJMAX - 25)</f>
        <v>11.91129802</v>
      </c>
      <c r="V51" s="115">
        <f>V50*(TJMAX-$E$19)/(TJMAX - 25)</f>
        <v>10.21951608</v>
      </c>
      <c r="W51" s="115">
        <f>W50*(TJMAX-$E$19)/(TJMAX - 25)</f>
        <v>8.76802081</v>
      </c>
      <c r="X51" s="115">
        <f>X50*(TJMAX-$E$19)/(TJMAX - 25)</f>
        <v>7.979240503</v>
      </c>
    </row>
    <row r="52" ht="12.0" customHeight="1">
      <c r="D52" s="67" t="s">
        <v>510</v>
      </c>
      <c r="E52" s="115">
        <f t="shared" ref="E52:X52" si="8">E51/E44</f>
        <v>0.334010516</v>
      </c>
      <c r="F52" s="115">
        <f t="shared" si="8"/>
        <v>0.3568593798</v>
      </c>
      <c r="G52" s="115">
        <f t="shared" si="8"/>
        <v>0.38127128</v>
      </c>
      <c r="H52" s="115">
        <f t="shared" si="8"/>
        <v>0.4073531401</v>
      </c>
      <c r="I52" s="115">
        <f t="shared" si="8"/>
        <v>0.4352191981</v>
      </c>
      <c r="J52" s="115">
        <f t="shared" si="8"/>
        <v>0.4649915068</v>
      </c>
      <c r="K52" s="115">
        <f t="shared" si="8"/>
        <v>0.4968004682</v>
      </c>
      <c r="L52" s="115">
        <f t="shared" si="8"/>
        <v>0.5307854049</v>
      </c>
      <c r="M52" s="115">
        <f t="shared" si="8"/>
        <v>0.5670951701</v>
      </c>
      <c r="N52" s="115">
        <f t="shared" si="8"/>
        <v>0.6117842491</v>
      </c>
      <c r="O52" s="115">
        <f t="shared" si="8"/>
        <v>0.6688560965</v>
      </c>
      <c r="P52" s="115">
        <f t="shared" si="8"/>
        <v>0.7312520362</v>
      </c>
      <c r="Q52" s="115">
        <f t="shared" si="8"/>
        <v>0.7994687396</v>
      </c>
      <c r="R52" s="115">
        <f t="shared" si="8"/>
        <v>0.8740492114</v>
      </c>
      <c r="S52" s="115">
        <f t="shared" si="8"/>
        <v>0.9555871119</v>
      </c>
      <c r="T52" s="115">
        <f t="shared" si="8"/>
        <v>1.044731483</v>
      </c>
      <c r="U52" s="115">
        <f t="shared" si="8"/>
        <v>1.142191912</v>
      </c>
      <c r="V52" s="115">
        <f t="shared" si="8"/>
        <v>1.248744186</v>
      </c>
      <c r="W52" s="115">
        <f t="shared" si="8"/>
        <v>1.365236458</v>
      </c>
      <c r="X52" s="115">
        <f t="shared" si="8"/>
        <v>1.583182639</v>
      </c>
    </row>
    <row r="53" ht="12.0" customHeight="1"/>
    <row r="54" ht="12.0" customHeight="1">
      <c r="D54" s="67" t="s">
        <v>511</v>
      </c>
      <c r="E54" s="115" t="str">
        <f t="shared" ref="E54:X54" si="9">IF(E52&gt;$E$20, "Y", "N")</f>
        <v>N</v>
      </c>
      <c r="F54" s="115" t="str">
        <f t="shared" si="9"/>
        <v>N</v>
      </c>
      <c r="G54" s="115" t="str">
        <f t="shared" si="9"/>
        <v>N</v>
      </c>
      <c r="H54" s="115" t="str">
        <f t="shared" si="9"/>
        <v>N</v>
      </c>
      <c r="I54" s="115" t="str">
        <f t="shared" si="9"/>
        <v>N</v>
      </c>
      <c r="J54" s="115" t="str">
        <f t="shared" si="9"/>
        <v>N</v>
      </c>
      <c r="K54" s="115" t="str">
        <f t="shared" si="9"/>
        <v>N</v>
      </c>
      <c r="L54" s="115" t="str">
        <f t="shared" si="9"/>
        <v>N</v>
      </c>
      <c r="M54" s="115" t="str">
        <f t="shared" si="9"/>
        <v>N</v>
      </c>
      <c r="N54" s="115" t="str">
        <f t="shared" si="9"/>
        <v>N</v>
      </c>
      <c r="O54" s="115" t="str">
        <f t="shared" si="9"/>
        <v>N</v>
      </c>
      <c r="P54" s="115" t="str">
        <f t="shared" si="9"/>
        <v>N</v>
      </c>
      <c r="Q54" s="115" t="str">
        <f t="shared" si="9"/>
        <v>N</v>
      </c>
      <c r="R54" s="115" t="str">
        <f t="shared" si="9"/>
        <v>N</v>
      </c>
      <c r="S54" s="115" t="str">
        <f t="shared" si="9"/>
        <v>N</v>
      </c>
      <c r="T54" s="115" t="str">
        <f t="shared" si="9"/>
        <v>N</v>
      </c>
      <c r="U54" s="115" t="str">
        <f t="shared" si="9"/>
        <v>N</v>
      </c>
      <c r="V54" s="115" t="str">
        <f t="shared" si="9"/>
        <v>N</v>
      </c>
      <c r="W54" s="115" t="str">
        <f t="shared" si="9"/>
        <v>N</v>
      </c>
      <c r="X54" s="115" t="str">
        <f t="shared" si="9"/>
        <v>Y</v>
      </c>
      <c r="Y54" s="115" t="s">
        <v>512</v>
      </c>
    </row>
    <row r="55" ht="12.0" customHeight="1">
      <c r="D55" s="67" t="s">
        <v>513</v>
      </c>
      <c r="E55" s="115">
        <f>IF(E54="Y", 1, 0)</f>
        <v>0</v>
      </c>
      <c r="F55" s="115">
        <f t="shared" ref="F55:X55" si="10">IF(AND(F54="Y", E54="N"),  1, 0)</f>
        <v>0</v>
      </c>
      <c r="G55" s="115">
        <f t="shared" si="10"/>
        <v>0</v>
      </c>
      <c r="H55" s="115">
        <f t="shared" si="10"/>
        <v>0</v>
      </c>
      <c r="I55" s="115">
        <f t="shared" si="10"/>
        <v>0</v>
      </c>
      <c r="J55" s="115">
        <f t="shared" si="10"/>
        <v>0</v>
      </c>
      <c r="K55" s="115">
        <f t="shared" si="10"/>
        <v>0</v>
      </c>
      <c r="L55" s="115">
        <f t="shared" si="10"/>
        <v>0</v>
      </c>
      <c r="M55" s="115">
        <f t="shared" si="10"/>
        <v>0</v>
      </c>
      <c r="N55" s="115">
        <f t="shared" si="10"/>
        <v>0</v>
      </c>
      <c r="O55" s="115">
        <f t="shared" si="10"/>
        <v>0</v>
      </c>
      <c r="P55" s="115">
        <f t="shared" si="10"/>
        <v>0</v>
      </c>
      <c r="Q55" s="115">
        <f t="shared" si="10"/>
        <v>0</v>
      </c>
      <c r="R55" s="115">
        <f t="shared" si="10"/>
        <v>0</v>
      </c>
      <c r="S55" s="115">
        <f t="shared" si="10"/>
        <v>0</v>
      </c>
      <c r="T55" s="115">
        <f t="shared" si="10"/>
        <v>0</v>
      </c>
      <c r="U55" s="115">
        <f t="shared" si="10"/>
        <v>0</v>
      </c>
      <c r="V55" s="115">
        <f t="shared" si="10"/>
        <v>0</v>
      </c>
      <c r="W55" s="115">
        <f t="shared" si="10"/>
        <v>0</v>
      </c>
      <c r="X55" s="115">
        <f t="shared" si="10"/>
        <v>1</v>
      </c>
    </row>
    <row r="56" ht="12.0" customHeight="1">
      <c r="D56" s="67" t="s">
        <v>514</v>
      </c>
      <c r="E56" s="115">
        <v>0.0</v>
      </c>
      <c r="F56" s="115">
        <f t="shared" ref="F56:X56" si="11">IF(AND(F54="Y", G54="N"),  1, 0)</f>
        <v>0</v>
      </c>
      <c r="G56" s="115">
        <f t="shared" si="11"/>
        <v>0</v>
      </c>
      <c r="H56" s="115">
        <f t="shared" si="11"/>
        <v>0</v>
      </c>
      <c r="I56" s="115">
        <f t="shared" si="11"/>
        <v>0</v>
      </c>
      <c r="J56" s="115">
        <f t="shared" si="11"/>
        <v>0</v>
      </c>
      <c r="K56" s="115">
        <f t="shared" si="11"/>
        <v>0</v>
      </c>
      <c r="L56" s="115">
        <f t="shared" si="11"/>
        <v>0</v>
      </c>
      <c r="M56" s="115">
        <f t="shared" si="11"/>
        <v>0</v>
      </c>
      <c r="N56" s="115">
        <f t="shared" si="11"/>
        <v>0</v>
      </c>
      <c r="O56" s="115">
        <f t="shared" si="11"/>
        <v>0</v>
      </c>
      <c r="P56" s="115">
        <f t="shared" si="11"/>
        <v>0</v>
      </c>
      <c r="Q56" s="115">
        <f t="shared" si="11"/>
        <v>0</v>
      </c>
      <c r="R56" s="115">
        <f t="shared" si="11"/>
        <v>0</v>
      </c>
      <c r="S56" s="115">
        <f t="shared" si="11"/>
        <v>0</v>
      </c>
      <c r="T56" s="115">
        <f t="shared" si="11"/>
        <v>0</v>
      </c>
      <c r="U56" s="115">
        <f t="shared" si="11"/>
        <v>0</v>
      </c>
      <c r="V56" s="115">
        <f t="shared" si="11"/>
        <v>0</v>
      </c>
      <c r="W56" s="115">
        <f t="shared" si="11"/>
        <v>0</v>
      </c>
      <c r="X56" s="115">
        <f t="shared" si="11"/>
        <v>1</v>
      </c>
    </row>
    <row r="57" ht="12.0" customHeight="1"/>
    <row r="58" ht="12.0" customHeight="1">
      <c r="D58" s="115" t="s">
        <v>515</v>
      </c>
      <c r="E58" s="115">
        <f t="shared" ref="E58:X58" si="12">E55*E35</f>
        <v>0</v>
      </c>
      <c r="F58" s="115">
        <f t="shared" si="12"/>
        <v>0</v>
      </c>
      <c r="G58" s="115">
        <f t="shared" si="12"/>
        <v>0</v>
      </c>
      <c r="H58" s="115">
        <f t="shared" si="12"/>
        <v>0</v>
      </c>
      <c r="I58" s="115">
        <f t="shared" si="12"/>
        <v>0</v>
      </c>
      <c r="J58" s="115">
        <f t="shared" si="12"/>
        <v>0</v>
      </c>
      <c r="K58" s="115">
        <f t="shared" si="12"/>
        <v>0</v>
      </c>
      <c r="L58" s="115">
        <f t="shared" si="12"/>
        <v>0</v>
      </c>
      <c r="M58" s="115">
        <f t="shared" si="12"/>
        <v>0</v>
      </c>
      <c r="N58" s="115">
        <f t="shared" si="12"/>
        <v>0</v>
      </c>
      <c r="O58" s="115">
        <f t="shared" si="12"/>
        <v>0</v>
      </c>
      <c r="P58" s="115">
        <f t="shared" si="12"/>
        <v>0</v>
      </c>
      <c r="Q58" s="115">
        <f t="shared" si="12"/>
        <v>0</v>
      </c>
      <c r="R58" s="115">
        <f t="shared" si="12"/>
        <v>0</v>
      </c>
      <c r="S58" s="115">
        <f t="shared" si="12"/>
        <v>0</v>
      </c>
      <c r="T58" s="115">
        <f t="shared" si="12"/>
        <v>0</v>
      </c>
      <c r="U58" s="115">
        <f t="shared" si="12"/>
        <v>0</v>
      </c>
      <c r="V58" s="115">
        <f t="shared" si="12"/>
        <v>0</v>
      </c>
      <c r="W58" s="115">
        <f t="shared" si="12"/>
        <v>0</v>
      </c>
      <c r="X58" s="115">
        <f t="shared" si="12"/>
        <v>0.12</v>
      </c>
    </row>
    <row r="59" ht="12.0" customHeight="1">
      <c r="D59" s="115" t="s">
        <v>516</v>
      </c>
      <c r="E59" s="115">
        <f t="shared" ref="E59:X59" si="13">E35*E56</f>
        <v>0</v>
      </c>
      <c r="F59" s="115">
        <f t="shared" si="13"/>
        <v>0</v>
      </c>
      <c r="G59" s="115">
        <f t="shared" si="13"/>
        <v>0</v>
      </c>
      <c r="H59" s="115">
        <f t="shared" si="13"/>
        <v>0</v>
      </c>
      <c r="I59" s="115">
        <f t="shared" si="13"/>
        <v>0</v>
      </c>
      <c r="J59" s="115">
        <f t="shared" si="13"/>
        <v>0</v>
      </c>
      <c r="K59" s="115">
        <f t="shared" si="13"/>
        <v>0</v>
      </c>
      <c r="L59" s="115">
        <f t="shared" si="13"/>
        <v>0</v>
      </c>
      <c r="M59" s="115">
        <f t="shared" si="13"/>
        <v>0</v>
      </c>
      <c r="N59" s="115">
        <f t="shared" si="13"/>
        <v>0</v>
      </c>
      <c r="O59" s="115">
        <f t="shared" si="13"/>
        <v>0</v>
      </c>
      <c r="P59" s="115">
        <f t="shared" si="13"/>
        <v>0</v>
      </c>
      <c r="Q59" s="115">
        <f t="shared" si="13"/>
        <v>0</v>
      </c>
      <c r="R59" s="115">
        <f t="shared" si="13"/>
        <v>0</v>
      </c>
      <c r="S59" s="115">
        <f t="shared" si="13"/>
        <v>0</v>
      </c>
      <c r="T59" s="115">
        <f t="shared" si="13"/>
        <v>0</v>
      </c>
      <c r="U59" s="115">
        <f t="shared" si="13"/>
        <v>0</v>
      </c>
      <c r="V59" s="115">
        <f t="shared" si="13"/>
        <v>0</v>
      </c>
      <c r="W59" s="115">
        <f t="shared" si="13"/>
        <v>0</v>
      </c>
      <c r="X59" s="115">
        <f t="shared" si="13"/>
        <v>0.12</v>
      </c>
    </row>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portrait"/>
  <drawing r:id="rId1"/>
</worksheet>
</file>