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s\TestPlatform2\power\"/>
    </mc:Choice>
  </mc:AlternateContent>
  <xr:revisionPtr revIDLastSave="0" documentId="13_ncr:1_{2D5F9ACF-F549-4F45-BC71-990758977977}" xr6:coauthVersionLast="40" xr6:coauthVersionMax="40" xr10:uidLastSave="{00000000-0000-0000-0000-000000000000}"/>
  <bookViews>
    <workbookView xWindow="0" yWindow="0" windowWidth="20490" windowHeight="7530" xr2:uid="{00000000-000D-0000-FFFF-FFFF00000000}"/>
  </bookViews>
  <sheets>
    <sheet name="FDMC86139P" sheetId="5" r:id="rId1"/>
  </sheets>
  <definedNames>
    <definedName name="FET_T_OFF">#REF!</definedName>
    <definedName name="FET_T_ON">#REF!</definedName>
    <definedName name="FET_TD">#REF!</definedName>
    <definedName name="FS">#REF!</definedName>
    <definedName name="I_OUT_MIN">#REF!</definedName>
    <definedName name="RT">#REF!</definedName>
    <definedName name="T_ON_MAX">#REF!</definedName>
    <definedName name="T_ON_MIN">#REF!</definedName>
    <definedName name="V_IN_MAX">#REF!</definedName>
    <definedName name="V_IN_MIN">#REF!</definedName>
    <definedName name="V_IN_NOM">#REF!</definedName>
    <definedName name="V_OU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3" i="5" l="1"/>
  <c r="L48" i="5" l="1"/>
  <c r="N28" i="5" l="1"/>
  <c r="L85" i="5" s="1"/>
  <c r="L113" i="5"/>
  <c r="L93" i="5"/>
  <c r="L91" i="5"/>
  <c r="L69" i="5"/>
  <c r="L68" i="5"/>
  <c r="L67" i="5"/>
  <c r="L41" i="5"/>
  <c r="N31" i="5"/>
  <c r="L27" i="5"/>
  <c r="L21" i="5"/>
  <c r="L95" i="5"/>
  <c r="L30" i="5"/>
  <c r="L36" i="5"/>
  <c r="B12" i="5"/>
  <c r="L50" i="5" l="1"/>
  <c r="L98" i="5"/>
  <c r="L75" i="5" l="1"/>
  <c r="L56" i="5"/>
  <c r="M61" i="5" l="1"/>
  <c r="L61" i="5"/>
</calcChain>
</file>

<file path=xl/sharedStrings.xml><?xml version="1.0" encoding="utf-8"?>
<sst xmlns="http://schemas.openxmlformats.org/spreadsheetml/2006/main" count="79" uniqueCount="59">
  <si>
    <t>Rt</t>
  </si>
  <si>
    <t>Vin</t>
  </si>
  <si>
    <t>td</t>
  </si>
  <si>
    <t>Vout</t>
  </si>
  <si>
    <t>Fs</t>
  </si>
  <si>
    <t>V</t>
  </si>
  <si>
    <t>kHz</t>
  </si>
  <si>
    <t>ns</t>
  </si>
  <si>
    <t>Vin_max</t>
  </si>
  <si>
    <t>kR</t>
  </si>
  <si>
    <t>ton_min</t>
  </si>
  <si>
    <t xml:space="preserve"> </t>
  </si>
  <si>
    <t>min SW node on-time (ton_min + td)</t>
  </si>
  <si>
    <t>Vin_min</t>
  </si>
  <si>
    <t>Iout_min</t>
  </si>
  <si>
    <t>A</t>
  </si>
  <si>
    <t>Ior_max</t>
  </si>
  <si>
    <t>L1</t>
  </si>
  <si>
    <t>uH</t>
  </si>
  <si>
    <t>Icl_min</t>
  </si>
  <si>
    <t>Radj</t>
  </si>
  <si>
    <t>Cout</t>
  </si>
  <si>
    <t>Duty cycle</t>
  </si>
  <si>
    <t>ton_max</t>
  </si>
  <si>
    <t>max SW node on-time (ton_max + td)</t>
  </si>
  <si>
    <t>FET turn-on</t>
  </si>
  <si>
    <t>FET turn-off</t>
  </si>
  <si>
    <t>FET td</t>
  </si>
  <si>
    <t>FS</t>
  </si>
  <si>
    <t>Ohm</t>
  </si>
  <si>
    <t>Icl_nom</t>
  </si>
  <si>
    <t>Icl_max</t>
  </si>
  <si>
    <t>Vripple</t>
  </si>
  <si>
    <t>V p-p</t>
  </si>
  <si>
    <t>Va</t>
  </si>
  <si>
    <t>Vsw</t>
  </si>
  <si>
    <t>R3 x C1</t>
  </si>
  <si>
    <t>C1</t>
  </si>
  <si>
    <t>pF</t>
  </si>
  <si>
    <t>R3</t>
  </si>
  <si>
    <t>Iout</t>
  </si>
  <si>
    <t>R3 E96</t>
  </si>
  <si>
    <t>kOhm</t>
  </si>
  <si>
    <t>Rt E96</t>
  </si>
  <si>
    <t>Radj E96</t>
  </si>
  <si>
    <t>uF</t>
  </si>
  <si>
    <t>dV</t>
  </si>
  <si>
    <t>Cin + Cbyp</t>
  </si>
  <si>
    <t>Cin</t>
  </si>
  <si>
    <t>Cbyp</t>
  </si>
  <si>
    <t>1uF</t>
  </si>
  <si>
    <t>s</t>
  </si>
  <si>
    <t>Vos</t>
  </si>
  <si>
    <t>mVp-p</t>
  </si>
  <si>
    <t>Rfb2</t>
  </si>
  <si>
    <t>Rfb1</t>
  </si>
  <si>
    <t>td is equal to 50ns plus the PFET ’s delay difference</t>
  </si>
  <si>
    <t>2 x 100uF</t>
  </si>
  <si>
    <t>35V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</si>
</sst>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00000"/>
    <numFmt numFmtId="166" formatCode="0.0000000000"/>
  </numFmts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165" fontId="1" fillId="0" borderId="0" xfId="0" applyNumberFormat="1" applyFont="1"/>
    <xf numFmtId="11" fontId="0" fillId="0" borderId="0" xfId="0" applyNumberFormat="1"/>
    <xf numFmtId="0" fontId="0" fillId="0" borderId="0" xfId="0" applyAlignment="1"/>
    <xf numFmtId="0" fontId="4" fillId="0" borderId="0" xfId="0" applyFont="1"/>
    <xf numFmtId="0" fontId="3" fillId="0" borderId="0" xfId="0" quotePrefix="1" applyFont="1"/>
    <xf numFmtId="166" fontId="1" fillId="0" borderId="0" xfId="0" applyNumberFormat="1" applyFont="1"/>
    <xf numFmtId="165" fontId="2" fillId="0" borderId="0" xfId="0" applyNumberFormat="1" applyFont="1"/>
    <xf numFmtId="166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348352</xdr:colOff>
      <xdr:row>20</xdr:row>
      <xdr:rowOff>37651</xdr:rowOff>
    </xdr:from>
    <xdr:to>
      <xdr:col>9</xdr:col>
      <xdr:colOff>471260</xdr:colOff>
      <xdr:row>23</xdr:row>
      <xdr:rowOff>85349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27C39B6-E2F0-4CA2-A2FF-4B325A11C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4027" y="3847651"/>
          <a:ext cx="3818608" cy="619198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92702</xdr:colOff>
      <xdr:row>39</xdr:row>
      <xdr:rowOff>54475</xdr:rowOff>
    </xdr:from>
    <xdr:to>
      <xdr:col>9</xdr:col>
      <xdr:colOff>228600</xdr:colOff>
      <xdr:row>44</xdr:row>
      <xdr:rowOff>177109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485B373-6E46-4277-9F38-62E52D8DA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702" y="7626850"/>
          <a:ext cx="7574923" cy="1075134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61704</xdr:colOff>
      <xdr:row>47</xdr:row>
      <xdr:rowOff>118857</xdr:rowOff>
    </xdr:from>
    <xdr:to>
      <xdr:col>9</xdr:col>
      <xdr:colOff>228600</xdr:colOff>
      <xdr:row>54</xdr:row>
      <xdr:rowOff>60024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908EB59-3A61-414B-A07D-BE2CC2A55D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04" y="9215232"/>
          <a:ext cx="7605921" cy="127466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0</xdr:colOff>
      <xdr:row>55</xdr:row>
      <xdr:rowOff>81988</xdr:rowOff>
    </xdr:from>
    <xdr:to>
      <xdr:col>9</xdr:col>
      <xdr:colOff>240506</xdr:colOff>
      <xdr:row>58</xdr:row>
      <xdr:rowOff>99893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D31A740-3550-4CA8-9BB1-9479C462AE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49988"/>
          <a:ext cx="7679531" cy="589405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0</xdr:colOff>
      <xdr:row>58</xdr:row>
      <xdr:rowOff>132521</xdr:rowOff>
    </xdr:from>
    <xdr:to>
      <xdr:col>9</xdr:col>
      <xdr:colOff>252412</xdr:colOff>
      <xdr:row>64</xdr:row>
      <xdr:rowOff>185857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61750367-73EF-469B-992B-DA4D1BAD24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372021"/>
          <a:ext cx="7691437" cy="1196336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149088</xdr:colOff>
      <xdr:row>72</xdr:row>
      <xdr:rowOff>24849</xdr:rowOff>
    </xdr:from>
    <xdr:to>
      <xdr:col>9</xdr:col>
      <xdr:colOff>228601</xdr:colOff>
      <xdr:row>81</xdr:row>
      <xdr:rowOff>57206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39C315EB-B390-4330-BB41-06595241E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3978974"/>
          <a:ext cx="7518538" cy="1746857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91626</xdr:colOff>
      <xdr:row>83</xdr:row>
      <xdr:rowOff>1035</xdr:rowOff>
    </xdr:from>
    <xdr:to>
      <xdr:col>9</xdr:col>
      <xdr:colOff>228600</xdr:colOff>
      <xdr:row>85</xdr:row>
      <xdr:rowOff>186525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76B42646-8CCC-4367-B443-B3256C5014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626" y="16098285"/>
          <a:ext cx="7575999" cy="56649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339130</xdr:colOff>
      <xdr:row>15</xdr:row>
      <xdr:rowOff>96354</xdr:rowOff>
    </xdr:from>
    <xdr:to>
      <xdr:col>10</xdr:col>
      <xdr:colOff>146931</xdr:colOff>
      <xdr:row>16</xdr:row>
      <xdr:rowOff>134486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88EE3C17-FA71-4424-A820-5B83106C8E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130" y="2953854"/>
          <a:ext cx="7856426" cy="22863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153836</xdr:colOff>
      <xdr:row>25</xdr:row>
      <xdr:rowOff>19177</xdr:rowOff>
    </xdr:from>
    <xdr:to>
      <xdr:col>9</xdr:col>
      <xdr:colOff>228600</xdr:colOff>
      <xdr:row>32</xdr:row>
      <xdr:rowOff>76196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1639CE23-DA90-4030-A770-4AB0C6D6FD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836" y="4829302"/>
          <a:ext cx="7513789" cy="1390519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157370</xdr:colOff>
      <xdr:row>33</xdr:row>
      <xdr:rowOff>33132</xdr:rowOff>
    </xdr:from>
    <xdr:to>
      <xdr:col>9</xdr:col>
      <xdr:colOff>240506</xdr:colOff>
      <xdr:row>38</xdr:row>
      <xdr:rowOff>17696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A3F3C1AC-FF74-4269-85B4-1769CC4F32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70" y="6462507"/>
          <a:ext cx="7522161" cy="937064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190500</xdr:colOff>
      <xdr:row>66</xdr:row>
      <xdr:rowOff>41413</xdr:rowOff>
    </xdr:from>
    <xdr:to>
      <xdr:col>9</xdr:col>
      <xdr:colOff>228600</xdr:colOff>
      <xdr:row>70</xdr:row>
      <xdr:rowOff>9574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4B0A6A3D-D938-4CDD-B806-772AE01591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2852538"/>
          <a:ext cx="7477125" cy="730161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92145</xdr:colOff>
      <xdr:row>87</xdr:row>
      <xdr:rowOff>23812</xdr:rowOff>
    </xdr:from>
    <xdr:to>
      <xdr:col>9</xdr:col>
      <xdr:colOff>232781</xdr:colOff>
      <xdr:row>108</xdr:row>
      <xdr:rowOff>102982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770753BE-CBA0-4015-9CDA-E02F739D9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145" y="16883062"/>
          <a:ext cx="7579661" cy="407967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0</xdr:col>
      <xdr:colOff>97837</xdr:colOff>
      <xdr:row>109</xdr:row>
      <xdr:rowOff>47625</xdr:rowOff>
    </xdr:from>
    <xdr:to>
      <xdr:col>9</xdr:col>
      <xdr:colOff>253225</xdr:colOff>
      <xdr:row>123</xdr:row>
      <xdr:rowOff>71437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6AA0C59-4BB4-4EAF-9A88-57CCE9D341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837" y="21193125"/>
          <a:ext cx="7594413" cy="269081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FA0AE-5EE9-443F-A7D2-8944C07CFDA4}">
  <dimension ref="A3:R117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13.42578125" customWidth="1"/>
    <col min="2" max="2" width="16.7109375" customWidth="1"/>
    <col min="3" max="3" width="7.7109375" customWidth="1"/>
    <col min="7" max="7" width="20.42578125" customWidth="1"/>
    <col min="8" max="8" width="12.28515625" bestFit="1" customWidth="1"/>
    <col min="9" max="9" width="13.5703125" bestFit="1" customWidth="1"/>
    <col min="11" max="11" width="10.85546875" customWidth="1"/>
    <col min="12" max="12" width="13.5703125" bestFit="1" customWidth="1"/>
    <col min="13" max="13" width="13" bestFit="1" customWidth="1"/>
    <col min="14" max="14" width="16.42578125" bestFit="1" customWidth="1"/>
    <col min="15" max="15" width="3.85546875" bestFit="1" customWidth="1"/>
    <col min="16" max="16" width="6.85546875" bestFit="1" customWidth="1"/>
    <col min="17" max="17" width="6" bestFit="1" customWidth="1"/>
    <col min="18" max="18" width="17.7109375" customWidth="1"/>
  </cols>
  <sheetData>
    <row r="3" spans="1:9" x14ac:dyDescent="0.25">
      <c r="A3" t="s">
        <v>3</v>
      </c>
      <c r="B3">
        <v>5</v>
      </c>
      <c r="C3" t="s">
        <v>5</v>
      </c>
      <c r="D3" t="s">
        <v>54</v>
      </c>
      <c r="E3">
        <v>10</v>
      </c>
      <c r="F3" t="s">
        <v>9</v>
      </c>
    </row>
    <row r="4" spans="1:9" x14ac:dyDescent="0.25">
      <c r="A4" t="s">
        <v>1</v>
      </c>
      <c r="B4">
        <v>20</v>
      </c>
      <c r="C4" t="s">
        <v>5</v>
      </c>
      <c r="D4" t="s">
        <v>55</v>
      </c>
      <c r="E4">
        <v>3.4</v>
      </c>
      <c r="F4" t="s">
        <v>9</v>
      </c>
    </row>
    <row r="5" spans="1:9" x14ac:dyDescent="0.25">
      <c r="A5" t="s">
        <v>8</v>
      </c>
      <c r="B5">
        <v>30</v>
      </c>
      <c r="C5" t="s">
        <v>5</v>
      </c>
    </row>
    <row r="6" spans="1:9" x14ac:dyDescent="0.25">
      <c r="A6" t="s">
        <v>13</v>
      </c>
      <c r="B6">
        <v>10</v>
      </c>
      <c r="C6" t="s">
        <v>5</v>
      </c>
    </row>
    <row r="7" spans="1:9" x14ac:dyDescent="0.25">
      <c r="A7" t="s">
        <v>14</v>
      </c>
      <c r="B7">
        <v>0.5</v>
      </c>
      <c r="C7" t="s">
        <v>15</v>
      </c>
    </row>
    <row r="8" spans="1:9" x14ac:dyDescent="0.25">
      <c r="A8" t="s">
        <v>40</v>
      </c>
      <c r="B8">
        <v>4.5</v>
      </c>
      <c r="C8" t="s">
        <v>15</v>
      </c>
    </row>
    <row r="9" spans="1:9" x14ac:dyDescent="0.25">
      <c r="A9" t="s">
        <v>4</v>
      </c>
      <c r="B9">
        <v>300</v>
      </c>
      <c r="C9" t="s">
        <v>6</v>
      </c>
    </row>
    <row r="10" spans="1:9" x14ac:dyDescent="0.25">
      <c r="A10" t="s">
        <v>25</v>
      </c>
      <c r="B10">
        <v>11</v>
      </c>
      <c r="C10" t="s">
        <v>7</v>
      </c>
    </row>
    <row r="11" spans="1:9" x14ac:dyDescent="0.25">
      <c r="A11" t="s">
        <v>26</v>
      </c>
      <c r="B11">
        <v>17</v>
      </c>
      <c r="C11" t="s">
        <v>7</v>
      </c>
    </row>
    <row r="12" spans="1:9" x14ac:dyDescent="0.25">
      <c r="A12" t="s">
        <v>27</v>
      </c>
      <c r="B12">
        <f>B11-B10</f>
        <v>6</v>
      </c>
      <c r="C12" t="s">
        <v>7</v>
      </c>
    </row>
    <row r="13" spans="1:9" x14ac:dyDescent="0.25">
      <c r="A13" t="s">
        <v>2</v>
      </c>
      <c r="B13">
        <f>POWER(10,-9)*(50+B12)</f>
        <v>5.6000000000000005E-8</v>
      </c>
      <c r="D13" s="5" t="s">
        <v>56</v>
      </c>
      <c r="I13" s="10"/>
    </row>
    <row r="14" spans="1:9" x14ac:dyDescent="0.25">
      <c r="A14" t="s">
        <v>52</v>
      </c>
      <c r="B14">
        <v>5</v>
      </c>
      <c r="C14" t="s">
        <v>53</v>
      </c>
    </row>
    <row r="19" spans="11:18" ht="15" customHeight="1" x14ac:dyDescent="0.25"/>
    <row r="21" spans="11:18" x14ac:dyDescent="0.25">
      <c r="K21" s="1" t="s">
        <v>0</v>
      </c>
      <c r="L21" s="1">
        <f>(B3*(B4-1.56))/(1.45*POWER(10,-7)*B4*B9*POWER(10,3))-((50*POWER(10,-9)+B12*POWER(10,-9))*(B4-1.56))/(1.45*POWER(10,-7))-1.4</f>
        <v>97.455356321839091</v>
      </c>
    </row>
    <row r="22" spans="11:18" ht="18.75" x14ac:dyDescent="0.3">
      <c r="K22" s="6" t="s">
        <v>43</v>
      </c>
      <c r="L22" s="2">
        <v>97.6</v>
      </c>
      <c r="M22" s="2" t="s">
        <v>9</v>
      </c>
    </row>
    <row r="27" spans="11:18" x14ac:dyDescent="0.25">
      <c r="K27" s="1" t="s">
        <v>10</v>
      </c>
      <c r="L27" s="3">
        <f>(1.45*POWER(10,-7)*(L22+1.4))/(B5-1.56+(L22)/3167)+50*POWER(10,-9)</f>
        <v>5.5420047982035127E-7</v>
      </c>
      <c r="R27" s="3"/>
    </row>
    <row r="28" spans="11:18" ht="18.75" x14ac:dyDescent="0.3">
      <c r="K28" s="11" t="s">
        <v>12</v>
      </c>
      <c r="L28" s="11"/>
      <c r="M28" s="11"/>
      <c r="N28" s="9">
        <f>L27+B12*POWER(10,-9)</f>
        <v>5.6020047982035129E-7</v>
      </c>
      <c r="O28" s="2" t="s">
        <v>51</v>
      </c>
    </row>
    <row r="30" spans="11:18" x14ac:dyDescent="0.25">
      <c r="K30" s="1" t="s">
        <v>23</v>
      </c>
      <c r="L30" s="3">
        <f>(1.45*POWER(10,-7)*(L22+1.4))/(B6-1.56+(L22)/3167)+50*POWER(10,-9)</f>
        <v>1.7446415711288743E-6</v>
      </c>
      <c r="R30" s="3"/>
    </row>
    <row r="31" spans="11:18" ht="18.75" x14ac:dyDescent="0.3">
      <c r="K31" s="11" t="s">
        <v>24</v>
      </c>
      <c r="L31" s="11"/>
      <c r="M31" s="11"/>
      <c r="N31" s="9">
        <f>L30+B12*POWER(10,-9)</f>
        <v>1.7506415711288743E-6</v>
      </c>
      <c r="O31" s="2" t="s">
        <v>51</v>
      </c>
    </row>
    <row r="36" spans="1:13" x14ac:dyDescent="0.25">
      <c r="K36" s="1" t="s">
        <v>28</v>
      </c>
      <c r="L36" s="1">
        <f>(B3*(B4-1.56+L22/3167))/(B4*((1.45*POWER(10,-7)*(L22+1.4))+(B13*(B4-1.56+L22/3167))))</f>
        <v>300058.13839175494</v>
      </c>
    </row>
    <row r="39" spans="1:13" x14ac:dyDescent="0.25">
      <c r="A39" t="s">
        <v>11</v>
      </c>
    </row>
    <row r="41" spans="1:13" x14ac:dyDescent="0.25">
      <c r="K41" s="1" t="s">
        <v>16</v>
      </c>
      <c r="L41" s="1">
        <f>2*B7</f>
        <v>1</v>
      </c>
      <c r="M41" s="1" t="s">
        <v>15</v>
      </c>
    </row>
    <row r="48" spans="1:13" x14ac:dyDescent="0.25">
      <c r="K48" s="1" t="s">
        <v>17</v>
      </c>
      <c r="L48" s="8">
        <f>(N28*(B5-B3))/L41</f>
        <v>1.4005011995508782E-5</v>
      </c>
    </row>
    <row r="49" spans="7:13" ht="18.75" x14ac:dyDescent="0.3">
      <c r="L49" s="2">
        <v>15</v>
      </c>
      <c r="M49" s="2" t="s">
        <v>18</v>
      </c>
    </row>
    <row r="50" spans="7:13" x14ac:dyDescent="0.25">
      <c r="K50" s="1" t="s">
        <v>16</v>
      </c>
      <c r="L50" s="1">
        <f>(N28*(B5-B3))/(L49*POWER(10,-6))</f>
        <v>0.93366746636725229</v>
      </c>
      <c r="M50" s="1" t="s">
        <v>15</v>
      </c>
    </row>
    <row r="56" spans="7:13" x14ac:dyDescent="0.25">
      <c r="K56" s="1" t="s">
        <v>19</v>
      </c>
      <c r="L56" s="1">
        <f>B8+L50/2</f>
        <v>4.9668337331836261</v>
      </c>
    </row>
    <row r="61" spans="7:13" x14ac:dyDescent="0.25">
      <c r="K61" s="1" t="s">
        <v>20</v>
      </c>
      <c r="L61" s="1">
        <f>(L56+0.9)*0.01/(32*POWER(10,-6))</f>
        <v>1833.3855416198835</v>
      </c>
      <c r="M61">
        <f>L56+0.9</f>
        <v>5.8668337331836264</v>
      </c>
    </row>
    <row r="62" spans="7:13" ht="18.75" x14ac:dyDescent="0.3">
      <c r="K62" s="6" t="s">
        <v>44</v>
      </c>
      <c r="L62" s="6">
        <v>1910</v>
      </c>
      <c r="M62" s="6" t="s">
        <v>29</v>
      </c>
    </row>
    <row r="64" spans="7:13" x14ac:dyDescent="0.25">
      <c r="G64" s="4"/>
    </row>
    <row r="67" spans="11:13" x14ac:dyDescent="0.25">
      <c r="K67" s="1" t="s">
        <v>30</v>
      </c>
      <c r="L67" s="1">
        <f>(L62*40*POWER(10,-6))/0.01</f>
        <v>7.64</v>
      </c>
      <c r="M67" s="1" t="s">
        <v>15</v>
      </c>
    </row>
    <row r="68" spans="11:13" x14ac:dyDescent="0.25">
      <c r="K68" s="1" t="s">
        <v>31</v>
      </c>
      <c r="L68" s="1">
        <f>(L62*48*POWER(10,-6)+0.009)/0.01</f>
        <v>10.068</v>
      </c>
      <c r="M68" s="1" t="s">
        <v>15</v>
      </c>
    </row>
    <row r="69" spans="11:13" x14ac:dyDescent="0.25">
      <c r="K69" s="1" t="s">
        <v>19</v>
      </c>
      <c r="L69" s="1">
        <f>(L62*32*POWER(10,-6)-0.009)/0.01</f>
        <v>5.2119999999999989</v>
      </c>
      <c r="M69" s="1" t="s">
        <v>15</v>
      </c>
    </row>
    <row r="74" spans="11:13" x14ac:dyDescent="0.25">
      <c r="K74" t="s">
        <v>32</v>
      </c>
      <c r="L74">
        <v>5.0000000000000001E-3</v>
      </c>
      <c r="M74" t="s">
        <v>33</v>
      </c>
    </row>
    <row r="75" spans="11:13" x14ac:dyDescent="0.25">
      <c r="K75" s="1" t="s">
        <v>21</v>
      </c>
      <c r="L75" s="8">
        <f>L50/(8*L36*L74)</f>
        <v>7.779054680632083E-5</v>
      </c>
    </row>
    <row r="76" spans="11:13" ht="18.75" x14ac:dyDescent="0.3">
      <c r="K76" s="2" t="s">
        <v>21</v>
      </c>
      <c r="L76" s="2">
        <v>100</v>
      </c>
      <c r="M76" s="2" t="s">
        <v>45</v>
      </c>
    </row>
    <row r="85" spans="11:13" x14ac:dyDescent="0.25">
      <c r="K85" t="s">
        <v>22</v>
      </c>
      <c r="L85">
        <f>N28*300*1000</f>
        <v>0.16806014394610541</v>
      </c>
    </row>
    <row r="89" spans="11:13" x14ac:dyDescent="0.25">
      <c r="K89" t="s">
        <v>35</v>
      </c>
      <c r="L89">
        <v>0.65</v>
      </c>
    </row>
    <row r="91" spans="11:13" x14ac:dyDescent="0.25">
      <c r="K91" t="s">
        <v>34</v>
      </c>
      <c r="L91">
        <f>B3-(L89*(1-(L89/B6)))</f>
        <v>4.3922499999999998</v>
      </c>
    </row>
    <row r="93" spans="11:13" x14ac:dyDescent="0.25">
      <c r="K93" t="s">
        <v>36</v>
      </c>
      <c r="L93">
        <f>((B6 - L91)*N31)/0.025</f>
        <v>3.926864108199178E-4</v>
      </c>
    </row>
    <row r="95" spans="11:13" x14ac:dyDescent="0.25">
      <c r="K95" t="s">
        <v>37</v>
      </c>
      <c r="L95" s="10">
        <f>3300*POWER(10,-12)</f>
        <v>3.2999999999999998E-9</v>
      </c>
    </row>
    <row r="96" spans="11:13" ht="18.75" x14ac:dyDescent="0.3">
      <c r="K96" s="2" t="s">
        <v>37</v>
      </c>
      <c r="L96" s="2">
        <v>3300</v>
      </c>
      <c r="M96" s="2" t="s">
        <v>38</v>
      </c>
    </row>
    <row r="98" spans="11:13" x14ac:dyDescent="0.25">
      <c r="K98" t="s">
        <v>39</v>
      </c>
      <c r="L98">
        <f>L93/L95</f>
        <v>118995.88206664176</v>
      </c>
    </row>
    <row r="99" spans="11:13" ht="18.75" x14ac:dyDescent="0.3">
      <c r="K99" s="2" t="s">
        <v>41</v>
      </c>
      <c r="L99" s="2">
        <v>119</v>
      </c>
      <c r="M99" s="2" t="s">
        <v>42</v>
      </c>
    </row>
    <row r="111" spans="11:13" x14ac:dyDescent="0.25">
      <c r="K111" t="s">
        <v>46</v>
      </c>
      <c r="L111">
        <v>0.5</v>
      </c>
      <c r="M111" t="s">
        <v>5</v>
      </c>
    </row>
    <row r="113" spans="11:13" x14ac:dyDescent="0.25">
      <c r="K113" t="s">
        <v>47</v>
      </c>
      <c r="L113" s="10">
        <f>B8*N31/L111</f>
        <v>1.5755774140159868E-5</v>
      </c>
      <c r="M113" s="7"/>
    </row>
    <row r="115" spans="11:13" ht="18.75" x14ac:dyDescent="0.3">
      <c r="K115" s="2" t="s">
        <v>48</v>
      </c>
      <c r="L115" s="2" t="s">
        <v>57</v>
      </c>
      <c r="M115" s="2" t="s">
        <v>58</v>
      </c>
    </row>
    <row r="117" spans="11:13" ht="18.75" x14ac:dyDescent="0.3">
      <c r="K117" s="2" t="s">
        <v>49</v>
      </c>
      <c r="L117" s="2" t="s">
        <v>50</v>
      </c>
      <c r="M117" t="s">
        <v>58</v>
      </c>
    </row>
  </sheetData>
  <mergeCells count="2">
    <mergeCell ref="K28:M28"/>
    <mergeCell ref="K31:M31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FDMC86139P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2018-02-26T09:38:51Z</dcterms:created>
  <dcterms:modified xsi:type="dcterms:W3CDTF">2019-01-11T09:08:58Z</dcterms:modified>
</cp:coreProperties>
</file>