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https://sunmobility-my.sharepoint.com/personal/mutum_sunmobility_co_in/Documents/All Files_18_12_2019/E WBP Projects/Design/2L SCU WBP/LM5116/snvu051/"/>
    </mc:Choice>
  </mc:AlternateContent>
  <xr:revisionPtr revIDLastSave="11" documentId="8_{9FB7FE39-0BF5-4D72-B73A-846343380F16}" xr6:coauthVersionLast="46" xr6:coauthVersionMax="46" xr10:uidLastSave="{5F0D5565-AD50-4025-ADE3-42BD6FE6001C}"/>
  <workbookProtection lockStructure="1"/>
  <bookViews>
    <workbookView xWindow="-120" yWindow="-120" windowWidth="20730" windowHeight="11160" tabRatio="653" xr2:uid="{00000000-000D-0000-FFFF-FFFF00000000}"/>
  </bookViews>
  <sheets>
    <sheet name="LM(2)5116 Calculator" sheetId="1" r:id="rId1"/>
    <sheet name="Power Dissipation" sheetId="4" r:id="rId2"/>
    <sheet name="Frequency Compensation Graphs" sheetId="2" r:id="rId3"/>
    <sheet name="Bill of Materials" sheetId="3" r:id="rId4"/>
  </sheets>
  <definedNames>
    <definedName name="_xlnm._FilterDatabase" localSheetId="0" hidden="1">'LM(2)5116 Calculator'!$G$5:$G$6</definedName>
    <definedName name="_Rfb1">'LM(2)5116 Calculator'!$E$46</definedName>
    <definedName name="_Rfb2">'LM(2)5116 Calculator'!$E$47</definedName>
    <definedName name="_Ruv1">'LM(2)5116 Calculator'!$E$38 *1000</definedName>
    <definedName name="_Ruv2">'LM(2)5116 Calculator'!$E$37*1000</definedName>
    <definedName name="A">10</definedName>
    <definedName name="Aea">'Frequency Compensation Graphs'!$R$2:$R$23</definedName>
    <definedName name="Aol">'Frequency Compensation Graphs'!$N$2</definedName>
    <definedName name="Aprime">10000/(1000+Rg)</definedName>
    <definedName name="Av">'Frequency Compensation Graphs'!$N$19</definedName>
    <definedName name="Cchf">'Frequency Compensation Graphs'!$J$49/1000000000000</definedName>
    <definedName name="Ccmp">'Frequency Compensation Graphs'!$J$48/1000000000000</definedName>
    <definedName name="Ccomp">'LM(2)5116 Calculator'!$E$67*0.000000000001</definedName>
    <definedName name="Cft">'LM(2)5116 Calculator'!$E$41/1000000</definedName>
    <definedName name="Chb">'LM(2)5116 Calculator'!$E$57*0.000001</definedName>
    <definedName name="Chf">'LM(2)5116 Calculator'!$E$68*0.000000000001</definedName>
    <definedName name="Cin">'LM(2)5116 Calculator'!$E$61</definedName>
    <definedName name="CompMethod">'Frequency Compensation Graphs'!$J$43</definedName>
    <definedName name="Cout">('LM(2)5116 Calculator'!$E$26)/1000000</definedName>
    <definedName name="Cout1">('LM(2)5116 Calculator'!$E$24)/1000000</definedName>
    <definedName name="Cout2">('LM(2)5116 Calculator'!$E$25)/1000000</definedName>
    <definedName name="Cramp">'LM(2)5116 Calculator'!$E$32/1000000000000</definedName>
    <definedName name="Cramp_5t7p5">gm*L/A/Rs_5t7p5*(1+(5-Vout)/VinMin)</definedName>
    <definedName name="Cramp_gt7p5">Iosc*L/Vout/A/Rs_gt7p5</definedName>
    <definedName name="Cramp_lt5">gm*L/A/Rs_lt5*(1+(5-Vout)/VinMax)</definedName>
    <definedName name="Css">'LM(2)5116 Calculator'!$E$73/1000000</definedName>
    <definedName name="Cvcc">'LM(2)5116 Calculator'!$E$54*0.000001</definedName>
    <definedName name="D">'Frequency Compensation Graphs'!$N$12</definedName>
    <definedName name="DiodeEmulation">'LM(2)5116 Calculator'!$E$49</definedName>
    <definedName name="ESR">'LM(2)5116 Calculator'!$E$27</definedName>
    <definedName name="f">'Frequency Compensation Graphs'!$A$2:$A$23</definedName>
    <definedName name="Fc">'LM(2)5116 Calculator'!$E$63*1000</definedName>
    <definedName name="Fsw">1000*'LM(2)5116 Calculator'!$E$21</definedName>
    <definedName name="FswMaxDC">(VinMin-(Vout))/(VinMin*0.00000058)</definedName>
    <definedName name="FswMinDC">(Vout)/(VinMax*0.0000001)</definedName>
    <definedName name="Fzea">'LM(2)5116 Calculator'!$E$69*1000</definedName>
    <definedName name="gm">0.000005</definedName>
    <definedName name="Gmmod">1/(Rs*A)</definedName>
    <definedName name="Gmod">'LM(2)5116 Calculator'!$E$64</definedName>
    <definedName name="ICC">'LM(2)5116 Calculator'!$E$59/1000</definedName>
    <definedName name="ICCstartup">'LM(2)5116 Calculator'!$E$58/1000</definedName>
    <definedName name="Ilimit">'LM(2)5116 Calculator'!$E$14</definedName>
    <definedName name="Ilimit_margin">'LM(2)5116 Calculator'!$E$13/100</definedName>
    <definedName name="Ios">0.000025</definedName>
    <definedName name="Iosc">(Vout/3)*0.00001</definedName>
    <definedName name="Iout">'LM(2)5116 Calculator'!$E$7</definedName>
    <definedName name="Iripple_pct">'LM(2)5116 Calculator'!$E$8/100</definedName>
    <definedName name="Isc">'LM(2)5116 Calculator'!$E$15</definedName>
    <definedName name="IsenseMethod">'LM(2)5116 Calculator'!$E$16</definedName>
    <definedName name="Kd">'Frequency Compensation Graphs'!$N$17</definedName>
    <definedName name="Kfb">'Frequency Compensation Graphs'!$N$3</definedName>
    <definedName name="Km">'Frequency Compensation Graphs'!$N$16</definedName>
    <definedName name="Ksl">'Frequency Compensation Graphs'!$N$14</definedName>
    <definedName name="L">'LM(2)5116 Calculator'!$E$30 * 0.000001</definedName>
    <definedName name="Method">'LM(2)5116 Calculator'!$G$7:$G$8</definedName>
    <definedName name="_xlnm.Print_Area" localSheetId="3">'Bill of Materials'!$B$1:$F$23</definedName>
    <definedName name="_xlnm.Print_Area" localSheetId="2">'Frequency Compensation Graphs'!$A$1:$X$58</definedName>
    <definedName name="_xlnm.Print_Area" localSheetId="0">'LM(2)5116 Calculator'!$A$1:$M$77</definedName>
    <definedName name="Q">'Frequency Compensation Graphs'!$P$17</definedName>
    <definedName name="Qgh">IF(VCCX&lt;4.5,Qghstart,('LM(2)5116 Calculator'!$E$55+(VCCX-4.5)*('LM(2)5116 Calculator'!$E$56-'LM(2)5116 Calculator'!$E$55)/(10-4.5))*0.000000001)</definedName>
    <definedName name="Qghstart">('LM(2)5116 Calculator'!$E$55+(7.4-4.5)*('LM(2)5116 Calculator'!$E$56-'LM(2)5116 Calculator'!$E$55)/(10-4.5))*0.000000001</definedName>
    <definedName name="Qgl">IF(VCCX&lt;4.5,Qglstart,('LM(2)5116 Calculator'!$E$52+(VCCX-4.5)*('LM(2)5116 Calculator'!$E$53-'LM(2)5116 Calculator'!$E$52)/(10-4.5))*0.000000001)</definedName>
    <definedName name="Qglstart">('LM(2)5116 Calculator'!$E$52+(7.4-4.5)*('LM(2)5116 Calculator'!$E$53-'LM(2)5116 Calculator'!$E$52)/(10-4.5))*0.000000001</definedName>
    <definedName name="Rcmp">'Frequency Compensation Graphs'!$J$47*1000</definedName>
    <definedName name="Rcomp">'LM(2)5116 Calculator'!$E$66*1000</definedName>
    <definedName name="Rdem">'LM(2)5116 Calculator'!$E$50</definedName>
    <definedName name="Rdson">'LM(2)5116 Calculator'!$E$17/1000</definedName>
    <definedName name="Rdson_150c">Rdson*(1 + 0.005*(150-27))</definedName>
    <definedName name="Rdson_n40c">Rdson*(1 + 0.005*(-40-27))</definedName>
    <definedName name="Reff">_Rfb1*_Rfb2/(_Rfb1+_Rfb2)</definedName>
    <definedName name="Rg">'LM(2)5116 Calculator'!$E$18</definedName>
    <definedName name="Ri">'Frequency Compensation Graphs'!$N$13</definedName>
    <definedName name="RJA">'Power Dissipation'!$B$3</definedName>
    <definedName name="RLmin">Vout/Ilimit</definedName>
    <definedName name="Rout">Vout/Iout</definedName>
    <definedName name="Rramp">'LM(2)5116 Calculator'!$E$33*1000</definedName>
    <definedName name="Rs">'LM(2)5116 Calculator'!$E$19/1000</definedName>
    <definedName name="Rs_5t7p5">Vcs/( Ilimit - Vout/Fsw/2/L*(1-Vout/VinMin) + Vout/Fsw/L )</definedName>
    <definedName name="Rs_gt7p5">Vcs/(Ilimit+Vout/Fsw/L)</definedName>
    <definedName name="Rs_lt5">Vcs/(Ilimit - Vout/Fsw/2/L*(1-Vout/VinMin) + Vout/Fsw/L*(1+(5-Vout)/VinMin)/(1+(5-Vout)/VinMax) )</definedName>
    <definedName name="Rt">'LM(2)5116 Calculator'!$E$22*1000</definedName>
    <definedName name="Rth">'Frequency Compensation Graphs'!$N$4</definedName>
    <definedName name="Sap">'Frequency Compensation Graphs'!$P$15</definedName>
    <definedName name="Se">'Frequency Compensation Graphs'!$P$14</definedName>
    <definedName name="SenseR">'LM(2)5116 Calculator'!$G$5:$G$6</definedName>
    <definedName name="TA">'Power Dissipation'!$B$2</definedName>
    <definedName name="toff">'LM(2)5116 Calculator'!$E$42</definedName>
    <definedName name="ton">'LM(2)5116 Calculator'!$E$43</definedName>
    <definedName name="tss">'LM(2)5116 Calculator'!$E$72/1000</definedName>
    <definedName name="tssmin">'LM(2)5116 Calculator'!$E$71/1000</definedName>
    <definedName name="UVLOdesired">'LM(2)5116 Calculator'!$E$35</definedName>
    <definedName name="VCC">IF(VCCX&lt;4.5, 7.4,VCCX)</definedName>
    <definedName name="VCCX">'LM(2)5116 Calculator'!$E$9</definedName>
    <definedName name="Vcs">IF(OR(VCCX&lt;4.5,VCCX&gt;5.8), 0.11,0.125)</definedName>
    <definedName name="Vin">'Frequency Compensation Graphs'!$N$11</definedName>
    <definedName name="VIN_UVLO">'LM(2)5116 Calculator'!$E$36</definedName>
    <definedName name="VinMax">'LM(2)5116 Calculator'!$E$6</definedName>
    <definedName name="VinMin">'LM(2)5116 Calculator'!$E$5</definedName>
    <definedName name="VinNom">(VinMin+VinMax)/2</definedName>
    <definedName name="Vout">'LM(2)5116 Calculator'!$E$4</definedName>
    <definedName name="Vramp">(Vout/VinNom)* ((VinNom-Vout)*gm+Iosc)/Fsw/Cramp_gt7p5</definedName>
    <definedName name="Vref">1.215</definedName>
    <definedName name="Vsl">'Frequency Compensation Graphs'!$N$15</definedName>
    <definedName name="w">'Frequency Compensation Graphs'!$B$2:$B$23</definedName>
    <definedName name="wbw">'Frequency Compensation Graphs'!$N$9</definedName>
    <definedName name="whf">'Frequency Compensation Graphs'!$N$8</definedName>
    <definedName name="wn">'Frequency Compensation Graphs'!$P$16</definedName>
    <definedName name="wo">'Frequency Compensation Graphs'!$N$6</definedName>
    <definedName name="wp">'Frequency Compensation Graphs'!$N$20</definedName>
    <definedName name="wth">'Frequency Compensation Graphs'!$N$7</definedName>
    <definedName name="wz">'Frequency Compensation Graphs'!$N$21</definedName>
    <definedName name="wzea">'Frequency Compensation Graphs'!$N$5</definedName>
    <definedName name="YesOrNo">'LM(2)5116 Calculator'!$G$3:$G$4</definedName>
    <definedName name="Zea">'Frequency Compensation Graphs'!$Q$2:$Q$23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2" l="1"/>
  <c r="E38" i="1"/>
  <c r="D15" i="3" s="1"/>
  <c r="F15" i="3" s="1"/>
  <c r="D16" i="3"/>
  <c r="F16" i="3" s="1"/>
  <c r="D18" i="3"/>
  <c r="F18" i="3" s="1"/>
  <c r="F6" i="3"/>
  <c r="F3" i="3"/>
  <c r="A22" i="2"/>
  <c r="A22" i="1"/>
  <c r="A23" i="1"/>
  <c r="E14" i="1"/>
  <c r="E30" i="1"/>
  <c r="D20" i="3" s="1"/>
  <c r="E58" i="1"/>
  <c r="A58" i="1" s="1"/>
  <c r="E59" i="1"/>
  <c r="L5" i="4"/>
  <c r="K5" i="4"/>
  <c r="J5" i="4"/>
  <c r="I5" i="4"/>
  <c r="H5" i="4"/>
  <c r="G5" i="4"/>
  <c r="F5" i="4"/>
  <c r="E5" i="4"/>
  <c r="D5" i="4"/>
  <c r="C5" i="4"/>
  <c r="B5" i="4"/>
  <c r="E26" i="1"/>
  <c r="N21" i="2" s="1"/>
  <c r="E11" i="1"/>
  <c r="E47" i="1"/>
  <c r="N4" i="2" s="1"/>
  <c r="E22" i="1"/>
  <c r="A66" i="1"/>
  <c r="A23" i="2"/>
  <c r="B23" i="2" s="1"/>
  <c r="A21" i="2"/>
  <c r="B21" i="2" s="1"/>
  <c r="A20" i="2"/>
  <c r="B20" i="2" s="1"/>
  <c r="A19" i="2"/>
  <c r="A18" i="2"/>
  <c r="A17" i="2"/>
  <c r="B17" i="2" s="1"/>
  <c r="A16" i="2"/>
  <c r="B16" i="2" s="1"/>
  <c r="A15" i="2"/>
  <c r="A14" i="2"/>
  <c r="B14" i="2" s="1"/>
  <c r="A13" i="2"/>
  <c r="B13" i="2" s="1"/>
  <c r="A12" i="2"/>
  <c r="B12" i="2" s="1"/>
  <c r="A11" i="2"/>
  <c r="A10" i="2"/>
  <c r="B10" i="2" s="1"/>
  <c r="A9" i="2"/>
  <c r="B9" i="2" s="1"/>
  <c r="A8" i="2"/>
  <c r="B8" i="2" s="1"/>
  <c r="A7" i="2"/>
  <c r="A6" i="2"/>
  <c r="B6" i="2" s="1"/>
  <c r="A5" i="2"/>
  <c r="B5" i="2" s="1"/>
  <c r="A4" i="2"/>
  <c r="B4" i="2" s="1"/>
  <c r="A3" i="2"/>
  <c r="A2" i="2"/>
  <c r="N11" i="2"/>
  <c r="N12" i="2" s="1"/>
  <c r="B22" i="2"/>
  <c r="B19" i="2"/>
  <c r="B18" i="2"/>
  <c r="B15" i="2"/>
  <c r="B11" i="2"/>
  <c r="B7" i="2"/>
  <c r="B3" i="2"/>
  <c r="B2" i="2"/>
  <c r="P16" i="2"/>
  <c r="E13" i="3"/>
  <c r="D13" i="3"/>
  <c r="E57" i="1"/>
  <c r="D12" i="3" s="1"/>
  <c r="E54" i="1"/>
  <c r="D11" i="3" s="1"/>
  <c r="D8" i="3"/>
  <c r="D6" i="3"/>
  <c r="D7" i="3"/>
  <c r="E6" i="3"/>
  <c r="E7" i="3"/>
  <c r="E3" i="3"/>
  <c r="E73" i="1"/>
  <c r="D5" i="3" s="1"/>
  <c r="E28" i="1"/>
  <c r="C36" i="1"/>
  <c r="E43" i="1"/>
  <c r="E18" i="3" l="1"/>
  <c r="E6" i="4"/>
  <c r="E7" i="4" s="1"/>
  <c r="A38" i="1"/>
  <c r="A60" i="1"/>
  <c r="E14" i="3"/>
  <c r="N3" i="2"/>
  <c r="D14" i="3"/>
  <c r="E42" i="1"/>
  <c r="E44" i="1" s="1"/>
  <c r="E15" i="3"/>
  <c r="E16" i="3"/>
  <c r="D22" i="3"/>
  <c r="F22" i="3" s="1"/>
  <c r="E8" i="4"/>
  <c r="L6" i="4"/>
  <c r="J6" i="4"/>
  <c r="H6" i="4"/>
  <c r="F6" i="4"/>
  <c r="D6" i="4"/>
  <c r="B6" i="4"/>
  <c r="C6" i="4"/>
  <c r="K6" i="4"/>
  <c r="E33" i="1"/>
  <c r="E19" i="1"/>
  <c r="E61" i="1"/>
  <c r="D3" i="3" s="1"/>
  <c r="E32" i="1"/>
  <c r="E19" i="3"/>
  <c r="D19" i="3"/>
  <c r="E71" i="1"/>
  <c r="A72" i="1" s="1"/>
  <c r="I6" i="4"/>
  <c r="G6" i="4"/>
  <c r="E22" i="3" l="1"/>
  <c r="N15" i="2"/>
  <c r="G7" i="4"/>
  <c r="G8" i="4"/>
  <c r="D4" i="3"/>
  <c r="N14" i="2"/>
  <c r="K7" i="4"/>
  <c r="K8" i="4"/>
  <c r="H7" i="4"/>
  <c r="H8" i="4"/>
  <c r="C7" i="4"/>
  <c r="C8" i="4"/>
  <c r="B7" i="4"/>
  <c r="B8" i="4"/>
  <c r="J8" i="4"/>
  <c r="J7" i="4"/>
  <c r="F8" i="4"/>
  <c r="F7" i="4"/>
  <c r="I8" i="4"/>
  <c r="I7" i="4"/>
  <c r="E50" i="1"/>
  <c r="D21" i="3" s="1"/>
  <c r="D17" i="3"/>
  <c r="E18" i="1"/>
  <c r="A16" i="1" s="1"/>
  <c r="N13" i="2"/>
  <c r="E15" i="1"/>
  <c r="E20" i="3" s="1"/>
  <c r="D7" i="4"/>
  <c r="D8" i="4"/>
  <c r="L7" i="4"/>
  <c r="L8" i="4"/>
  <c r="P14" i="2" l="1"/>
  <c r="E21" i="3"/>
  <c r="F21" i="3"/>
  <c r="E64" i="1"/>
  <c r="P15" i="2"/>
  <c r="N16" i="2"/>
  <c r="N17" i="2" s="1"/>
  <c r="N20" i="2" s="1"/>
  <c r="E17" i="3"/>
  <c r="F17" i="3"/>
  <c r="P17" i="2" l="1"/>
  <c r="D16" i="2" s="1"/>
  <c r="E66" i="1"/>
  <c r="E65" i="1"/>
  <c r="N18" i="2"/>
  <c r="D20" i="2"/>
  <c r="D12" i="2"/>
  <c r="D4" i="2"/>
  <c r="D9" i="2"/>
  <c r="D21" i="2"/>
  <c r="D5" i="2"/>
  <c r="D17" i="2"/>
  <c r="D13" i="2"/>
  <c r="D2" i="2"/>
  <c r="D18" i="2"/>
  <c r="D11" i="2"/>
  <c r="D23" i="2"/>
  <c r="D3" i="2"/>
  <c r="D6" i="2"/>
  <c r="D22" i="2"/>
  <c r="D15" i="2"/>
  <c r="D10" i="2"/>
  <c r="D14" i="2"/>
  <c r="D7" i="2"/>
  <c r="D19" i="2"/>
  <c r="N19" i="2"/>
  <c r="D8" i="2" l="1"/>
  <c r="C22" i="2"/>
  <c r="C18" i="2"/>
  <c r="C14" i="2"/>
  <c r="C10" i="2"/>
  <c r="C6" i="2"/>
  <c r="C2" i="2"/>
  <c r="C21" i="2"/>
  <c r="C17" i="2"/>
  <c r="C13" i="2"/>
  <c r="C9" i="2"/>
  <c r="C5" i="2"/>
  <c r="C20" i="2"/>
  <c r="C16" i="2"/>
  <c r="C12" i="2"/>
  <c r="C8" i="2"/>
  <c r="C4" i="2"/>
  <c r="C15" i="2"/>
  <c r="C11" i="2"/>
  <c r="C23" i="2"/>
  <c r="C7" i="2"/>
  <c r="C19" i="2"/>
  <c r="C3" i="2"/>
  <c r="E67" i="1"/>
  <c r="E68" i="1" s="1"/>
  <c r="K47" i="2"/>
  <c r="J47" i="2"/>
  <c r="D23" i="3" s="1"/>
  <c r="E69" i="1" l="1"/>
  <c r="J49" i="2"/>
  <c r="K49" i="2"/>
  <c r="J48" i="2"/>
  <c r="K48" i="2"/>
  <c r="D9" i="3" l="1"/>
  <c r="N5" i="2"/>
  <c r="N7" i="2"/>
  <c r="N6" i="2"/>
  <c r="N8" i="2"/>
  <c r="D10" i="3"/>
  <c r="Q22" i="2" l="1"/>
  <c r="R21" i="2"/>
  <c r="H21" i="2" s="1"/>
  <c r="Q18" i="2"/>
  <c r="R17" i="2"/>
  <c r="H17" i="2" s="1"/>
  <c r="Q14" i="2"/>
  <c r="R13" i="2"/>
  <c r="H13" i="2" s="1"/>
  <c r="Q10" i="2"/>
  <c r="R9" i="2"/>
  <c r="H9" i="2" s="1"/>
  <c r="Q6" i="2"/>
  <c r="R5" i="2"/>
  <c r="H5" i="2" s="1"/>
  <c r="Q2" i="2"/>
  <c r="Q23" i="2"/>
  <c r="R22" i="2"/>
  <c r="H22" i="2" s="1"/>
  <c r="Q19" i="2"/>
  <c r="R18" i="2"/>
  <c r="H18" i="2" s="1"/>
  <c r="Q15" i="2"/>
  <c r="R14" i="2"/>
  <c r="H14" i="2" s="1"/>
  <c r="Q11" i="2"/>
  <c r="R10" i="2"/>
  <c r="H10" i="2" s="1"/>
  <c r="Q7" i="2"/>
  <c r="R6" i="2"/>
  <c r="H6" i="2" s="1"/>
  <c r="Q3" i="2"/>
  <c r="R2" i="2"/>
  <c r="H2" i="2" s="1"/>
  <c r="R23" i="2"/>
  <c r="H23" i="2" s="1"/>
  <c r="Q20" i="2"/>
  <c r="R19" i="2"/>
  <c r="H19" i="2" s="1"/>
  <c r="Q16" i="2"/>
  <c r="R15" i="2"/>
  <c r="H15" i="2" s="1"/>
  <c r="Q12" i="2"/>
  <c r="R11" i="2"/>
  <c r="H11" i="2" s="1"/>
  <c r="Q8" i="2"/>
  <c r="R7" i="2"/>
  <c r="H7" i="2" s="1"/>
  <c r="Q4" i="2"/>
  <c r="R3" i="2"/>
  <c r="H3" i="2" s="1"/>
  <c r="Q17" i="2"/>
  <c r="R12" i="2"/>
  <c r="H12" i="2" s="1"/>
  <c r="Q21" i="2"/>
  <c r="R16" i="2"/>
  <c r="H16" i="2" s="1"/>
  <c r="Q5" i="2"/>
  <c r="R20" i="2"/>
  <c r="H20" i="2" s="1"/>
  <c r="Q9" i="2"/>
  <c r="R4" i="2"/>
  <c r="H4" i="2" s="1"/>
  <c r="Q13" i="2"/>
  <c r="R8" i="2"/>
  <c r="H8" i="2" s="1"/>
  <c r="E8" i="2" l="1"/>
  <c r="F8" i="2"/>
  <c r="I8" i="2"/>
  <c r="J8" i="2" s="1"/>
  <c r="L8" i="2" s="1"/>
  <c r="E2" i="2"/>
  <c r="F2" i="2"/>
  <c r="I2" i="2"/>
  <c r="J2" i="2" s="1"/>
  <c r="L2" i="2" s="1"/>
  <c r="E10" i="2"/>
  <c r="F10" i="2"/>
  <c r="I10" i="2"/>
  <c r="J10" i="2" s="1"/>
  <c r="L10" i="2" s="1"/>
  <c r="E18" i="2"/>
  <c r="F18" i="2"/>
  <c r="I18" i="2"/>
  <c r="J18" i="2" s="1"/>
  <c r="L18" i="2" s="1"/>
  <c r="E7" i="2"/>
  <c r="I7" i="2"/>
  <c r="J7" i="2" s="1"/>
  <c r="L7" i="2" s="1"/>
  <c r="F7" i="2"/>
  <c r="E5" i="2"/>
  <c r="I5" i="2"/>
  <c r="J5" i="2" s="1"/>
  <c r="L5" i="2" s="1"/>
  <c r="F5" i="2"/>
  <c r="E16" i="2"/>
  <c r="I16" i="2"/>
  <c r="J16" i="2" s="1"/>
  <c r="L16" i="2" s="1"/>
  <c r="F16" i="2"/>
  <c r="F3" i="2"/>
  <c r="I3" i="2"/>
  <c r="J3" i="2" s="1"/>
  <c r="L3" i="2" s="1"/>
  <c r="E3" i="2"/>
  <c r="F11" i="2"/>
  <c r="E11" i="2"/>
  <c r="I11" i="2"/>
  <c r="J11" i="2" s="1"/>
  <c r="L11" i="2" s="1"/>
  <c r="E19" i="2"/>
  <c r="F19" i="2"/>
  <c r="I19" i="2"/>
  <c r="J19" i="2" s="1"/>
  <c r="L19" i="2" s="1"/>
  <c r="E15" i="2"/>
  <c r="I15" i="2"/>
  <c r="J15" i="2" s="1"/>
  <c r="L15" i="2" s="1"/>
  <c r="F15" i="2"/>
  <c r="E23" i="2"/>
  <c r="F23" i="2"/>
  <c r="I23" i="2"/>
  <c r="J23" i="2" s="1"/>
  <c r="L23" i="2" s="1"/>
  <c r="E13" i="2"/>
  <c r="I13" i="2"/>
  <c r="J13" i="2" s="1"/>
  <c r="L13" i="2" s="1"/>
  <c r="F13" i="2"/>
  <c r="E17" i="2"/>
  <c r="I17" i="2"/>
  <c r="J17" i="2" s="1"/>
  <c r="L17" i="2" s="1"/>
  <c r="F17" i="2"/>
  <c r="E9" i="2"/>
  <c r="F9" i="2"/>
  <c r="I9" i="2"/>
  <c r="J9" i="2" s="1"/>
  <c r="L9" i="2" s="1"/>
  <c r="E21" i="2"/>
  <c r="I21" i="2"/>
  <c r="J21" i="2" s="1"/>
  <c r="L21" i="2" s="1"/>
  <c r="F21" i="2"/>
  <c r="E4" i="2"/>
  <c r="F4" i="2"/>
  <c r="I4" i="2"/>
  <c r="J4" i="2" s="1"/>
  <c r="L4" i="2" s="1"/>
  <c r="E12" i="2"/>
  <c r="I12" i="2"/>
  <c r="J12" i="2" s="1"/>
  <c r="L12" i="2" s="1"/>
  <c r="F12" i="2"/>
  <c r="E20" i="2"/>
  <c r="F20" i="2"/>
  <c r="I20" i="2"/>
  <c r="J20" i="2" s="1"/>
  <c r="L20" i="2" s="1"/>
  <c r="F6" i="2"/>
  <c r="E6" i="2"/>
  <c r="I6" i="2"/>
  <c r="J6" i="2" s="1"/>
  <c r="L6" i="2" s="1"/>
  <c r="F14" i="2"/>
  <c r="E14" i="2"/>
  <c r="I14" i="2"/>
  <c r="J14" i="2" s="1"/>
  <c r="L14" i="2" s="1"/>
  <c r="F22" i="2"/>
  <c r="E22" i="2"/>
  <c r="I22" i="2"/>
  <c r="J22" i="2" s="1"/>
  <c r="L22" i="2" s="1"/>
  <c r="G16" i="2" l="1"/>
  <c r="K16" i="2" s="1"/>
  <c r="G12" i="2"/>
  <c r="K12" i="2" s="1"/>
  <c r="G4" i="2"/>
  <c r="K4" i="2" s="1"/>
  <c r="G18" i="2"/>
  <c r="K18" i="2" s="1"/>
  <c r="G14" i="2"/>
  <c r="K14" i="2" s="1"/>
  <c r="G22" i="2"/>
  <c r="K22" i="2" s="1"/>
  <c r="G23" i="2"/>
  <c r="K23" i="2" s="1"/>
  <c r="G13" i="2"/>
  <c r="K13" i="2" s="1"/>
  <c r="G11" i="2"/>
  <c r="K11" i="2" s="1"/>
  <c r="G8" i="2"/>
  <c r="K8" i="2" s="1"/>
  <c r="G20" i="2"/>
  <c r="K20" i="2" s="1"/>
  <c r="G9" i="2"/>
  <c r="K9" i="2" s="1"/>
  <c r="G17" i="2"/>
  <c r="K17" i="2" s="1"/>
  <c r="G2" i="2"/>
  <c r="K2" i="2" s="1"/>
  <c r="G6" i="2"/>
  <c r="K6" i="2" s="1"/>
  <c r="G21" i="2"/>
  <c r="K21" i="2" s="1"/>
  <c r="G15" i="2"/>
  <c r="K15" i="2" s="1"/>
  <c r="G19" i="2"/>
  <c r="K19" i="2" s="1"/>
  <c r="G3" i="2"/>
  <c r="K3" i="2" s="1"/>
  <c r="G5" i="2"/>
  <c r="K5" i="2" s="1"/>
  <c r="G7" i="2"/>
  <c r="K7" i="2" s="1"/>
  <c r="G10" i="2"/>
  <c r="K1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Heck</author>
    <author>Robert Sheehan</author>
    <author>dpace</author>
  </authors>
  <commentList>
    <comment ref="E7" authorId="0" shapeId="0" xr:uid="{00000000-0006-0000-0000-000001000000}">
      <text>
        <r>
          <rPr>
            <sz val="8"/>
            <color indexed="81"/>
            <rFont val="Tahoma"/>
            <family val="2"/>
          </rPr>
          <t xml:space="preserve">This is the maximum </t>
        </r>
        <r>
          <rPr>
            <b/>
            <sz val="8"/>
            <color indexed="81"/>
            <rFont val="Tahoma"/>
            <family val="2"/>
          </rPr>
          <t>average</t>
        </r>
        <r>
          <rPr>
            <sz val="8"/>
            <color indexed="81"/>
            <rFont val="Tahoma"/>
            <family val="2"/>
          </rPr>
          <t xml:space="preserve"> load current required for the application.  </t>
        </r>
      </text>
    </comment>
    <comment ref="E8" authorId="0" shapeId="0" xr:uid="{00000000-0006-0000-0000-000002000000}">
      <text>
        <r>
          <rPr>
            <sz val="8"/>
            <color indexed="81"/>
            <rFont val="Tahoma"/>
            <family val="2"/>
          </rPr>
          <t>Maximum ripple current will occur at Vin(max).   Larger ripple currents allow for a smaller value inductor, but will result in higher ripple voltages on Vout for a given Cout.</t>
        </r>
      </text>
    </comment>
    <comment ref="E9" authorId="0" shapeId="0" xr:uid="{00000000-0006-0000-0000-000003000000}">
      <text>
        <r>
          <rPr>
            <sz val="8"/>
            <color indexed="81"/>
            <rFont val="Tahoma"/>
            <family val="2"/>
          </rPr>
          <t>VCCX is an optional  input to the LM5116 to supply the VCC voltage from a source other than the VCC regulator on the LM5116.   This will increase overall efficiency and lower the LM5116 junction temperature.  See the effect of VCCX on the Power Dissipation tab.
VCCX is typically derived from the output voltage. A blocking diode in series with the VIN pin may be required to prevent damage to the VCC regulator. See the data sheet High Voltage Start-Up Regulator section for further information.
If VCCX is not used, enter 0 for this value.</t>
        </r>
      </text>
    </comment>
    <comment ref="E13" authorId="0" shapeId="0" xr:uid="{00000000-0006-0000-0000-000004000000}">
      <text>
        <r>
          <rPr>
            <sz val="8"/>
            <color indexed="81"/>
            <rFont val="Tahoma"/>
            <family val="2"/>
          </rPr>
          <t>Some margin beyond the maximum load current is recommended for the current limit threshold.   
For Rs mode (Figure 1),  15% - 20%  is a reasonable starting point.   
For RDSON mode (Figure 2), much more (&gt;50%) is recommended due to the wide variation in RDSON.</t>
        </r>
      </text>
    </comment>
    <comment ref="E14" authorId="0" shapeId="0" xr:uid="{00000000-0006-0000-0000-000005000000}">
      <text>
        <r>
          <rPr>
            <sz val="8"/>
            <color indexed="81"/>
            <rFont val="Tahoma"/>
            <family val="2"/>
          </rPr>
          <t xml:space="preserve">This is the lowest average load current where current limit will occur over the VIN operating range. The value of this cell is  used for the calculation of the current sense components (Rs, RDSON, RG &amp; RDEM).  
</t>
        </r>
      </text>
    </comment>
    <comment ref="E15" authorId="1" shapeId="0" xr:uid="{00000000-0006-0000-0000-000006000000}">
      <text>
        <r>
          <rPr>
            <sz val="8"/>
            <color indexed="81"/>
            <rFont val="Tahoma"/>
            <family val="2"/>
          </rPr>
          <t xml:space="preserve">The inductor must be sized to handle the short circuit current without saturating. The maximum short circuit current occurs at Vin(max). Short circuit current can peak above this value when the minimum on-time limit is reached.
</t>
        </r>
      </text>
    </comment>
    <comment ref="E16" authorId="0" shapeId="0" xr:uid="{00000000-0006-0000-0000-000007000000}">
      <text>
        <r>
          <rPr>
            <sz val="8"/>
            <color indexed="81"/>
            <rFont val="Tahoma"/>
            <family val="2"/>
          </rPr>
          <t xml:space="preserve">Using a discrete sense resistor (R-sense Method illustrated in Figure 1) will provide far superior current limit accuracy compared to RDSON sensing (Figure 2).
</t>
        </r>
      </text>
    </comment>
    <comment ref="E21" authorId="2" shapeId="0" xr:uid="{00000000-0006-0000-0000-000008000000}">
      <text>
        <r>
          <rPr>
            <sz val="8"/>
            <color indexed="81"/>
            <rFont val="Tahoma"/>
            <family val="2"/>
          </rPr>
          <t xml:space="preserve">Selection of the operating frequency is a trade-off between the conversion efficiency and solution size. Operating at a high frequency, with a relatively high input voltage will reduce the efficiency and consequently generate a more heat. In some applications, the selection of a high operating frequency will limit the input voltage range, as described below:
1)  Operation with low input voltage requires a relatively high duty cycle to maintain output regulation. The maximum duty cycle is limited by the minimum HO off-time required for sampling  the DC inductor current. The output voltage will drop out of regulation at low Vin if  the switching frequency does not satisfy the following condition:
Fsw &lt; (Vout-Vin_min) / ( Vin_min * 580ns)
2)  Operation at high input voltage requires high duty cycle and short HO on-times. The switching frequency  must satisfy the following condition to ensure the on-time is greater than the 100ns minimum controllable on-time:
Fsw &lt; Vout / (Vin_max * 100ns)
3) The LM5116 oscillator has a  maximum programmable frequency that  is dependent on the VCC voltage. If VCC is above 6V, the frequency can be programmed up to 1MHz.  If VCCX is used to bias VCC and VCCX&lt;6V, the maximum programmable oscillator frequency  is 750kHz.
</t>
        </r>
      </text>
    </comment>
    <comment ref="E24" authorId="2" shapeId="0" xr:uid="{00000000-0006-0000-0000-000009000000}">
      <text>
        <r>
          <rPr>
            <sz val="8"/>
            <color indexed="81"/>
            <rFont val="Tahoma"/>
            <family val="2"/>
          </rPr>
          <t>The output capacitor(s) smooth the inductor ripple current and provide a source of charge for transient loading conditions. A good starting point for the output capacitance is a  parallel combination of a ceramic capacitor (Cout2) and a low ESR organic or tantalum capacitor (Cout1). The ceramic capacitor provides ultra low ESR to reduce the output ripple voltage and noise spikes, while the larger bulk capacitor provides a source of charge for transient loading conditions. The output capacitor voltage rating should be greater than Vout, plus some safety margin. Once the output capacitor is selected, the output ripple voltage,</t>
        </r>
        <r>
          <rPr>
            <sz val="8"/>
            <color indexed="81"/>
            <rFont val="Symbol"/>
            <family val="1"/>
            <charset val="2"/>
          </rPr>
          <t xml:space="preserve"> D</t>
        </r>
        <r>
          <rPr>
            <sz val="8"/>
            <color indexed="81"/>
            <rFont val="Tahoma"/>
            <family val="2"/>
          </rPr>
          <t>Vout, can be estimated.
The value of the output capacitors is a function of the output current requirement.</t>
        </r>
      </text>
    </comment>
    <comment ref="E27" authorId="1" shapeId="0" xr:uid="{00000000-0006-0000-0000-00000A000000}">
      <text>
        <r>
          <rPr>
            <sz val="8"/>
            <color indexed="81"/>
            <rFont val="Tahoma"/>
            <family val="2"/>
          </rPr>
          <t>Enter the value of the bulk output capacitor ESR.  For output voltage ripple and frequency compensation calculations, the effect of the parallel high frequency capacitor is ignored.</t>
        </r>
      </text>
    </comment>
    <comment ref="E30" authorId="2" shapeId="0" xr:uid="{00000000-0006-0000-0000-00000B000000}">
      <text>
        <r>
          <rPr>
            <sz val="8"/>
            <color indexed="81"/>
            <rFont val="Tahoma"/>
            <family val="2"/>
          </rPr>
          <t>Select the nearest standard inductor value. During an overload condition the peak inductor current  will reach the current limit threshold of the LM5116 device. The selected inductor must have sufficient current capability to withstand a short circuit condition.</t>
        </r>
      </text>
    </comment>
    <comment ref="E32" authorId="1" shapeId="0" xr:uid="{00000000-0006-0000-0000-00000C000000}">
      <text>
        <r>
          <rPr>
            <sz val="8"/>
            <color indexed="81"/>
            <rFont val="Tahoma"/>
            <family val="2"/>
          </rPr>
          <t>Select the nearest standard value for Cramp. A COG type capacitor with 5% tolerance is recommended.</t>
        </r>
      </text>
    </comment>
    <comment ref="E33" authorId="0" shapeId="0" xr:uid="{00000000-0006-0000-0000-00000D000000}">
      <text>
        <r>
          <rPr>
            <sz val="8"/>
            <color indexed="81"/>
            <rFont val="Tahoma"/>
            <family val="2"/>
          </rPr>
          <t>Rramp is only necessary for Vout &gt;7.5V</t>
        </r>
      </text>
    </comment>
    <comment ref="E35" authorId="0" shapeId="0" xr:uid="{00000000-0006-0000-0000-00000E000000}">
      <text>
        <r>
          <rPr>
            <sz val="8"/>
            <color indexed="81"/>
            <rFont val="Tahoma"/>
            <family val="2"/>
          </rPr>
          <t xml:space="preserve">If UVLO is not required, Ruv1 &amp; Ruv2 are not needed.  If UVLO is required, choose a target UVLO threshold and desired resistor value for Ruv2 which satisfies the following condition:
Ruv2 &gt; 500 x Vin(max),  where Ruv2 is in ohms.  
Larger values result in a longer current limit hiccup mode off- time  for a given Cft, but less accurate UVLO threshold due to the 5μA UVLO pin bias current. </t>
        </r>
      </text>
    </comment>
    <comment ref="E41" authorId="0" shapeId="0" xr:uid="{00000000-0006-0000-0000-00000F000000}">
      <text>
        <r>
          <rPr>
            <sz val="8"/>
            <color indexed="81"/>
            <rFont val="Tahoma"/>
            <family val="2"/>
          </rPr>
          <t xml:space="preserve">Choose a value for the UVLO capacitor to achieve the desired hiccup mode current limit duty cycle.  The UVLO capacitor value can by reduced for a given hiccup mode off time by increasing the values or Ruv1 and Ruv2. A diode across Ruv2 may improve the turn-off performance by providing a path to discharge Cft to Vin. See the data sheet Block Diagram and UVLO section for further information.
When the UVLO divider is used, a good starting value for Cft is 1 </t>
        </r>
        <r>
          <rPr>
            <sz val="8"/>
            <color indexed="81"/>
            <rFont val="Arial"/>
            <family val="2"/>
          </rPr>
          <t>μ</t>
        </r>
        <r>
          <rPr>
            <sz val="7.2"/>
            <color indexed="81"/>
            <rFont val="Tahoma"/>
            <family val="2"/>
          </rPr>
          <t xml:space="preserve">F. With no UVLO divider, a typical value for Cft is 0.1 </t>
        </r>
        <r>
          <rPr>
            <sz val="7.2"/>
            <color indexed="81"/>
            <rFont val="Arial"/>
            <family val="2"/>
          </rPr>
          <t>μ</t>
        </r>
        <r>
          <rPr>
            <sz val="6.5"/>
            <color indexed="81"/>
            <rFont val="Tahoma"/>
            <family val="2"/>
          </rPr>
          <t>F.</t>
        </r>
      </text>
    </comment>
    <comment ref="E44" authorId="0" shapeId="0" xr:uid="{00000000-0006-0000-0000-000010000000}">
      <text>
        <r>
          <rPr>
            <sz val="8"/>
            <color indexed="81"/>
            <rFont val="Tahoma"/>
            <family val="2"/>
          </rPr>
          <t>This is the approximate current limit hiccup duty cycle at the maximum  input voltage.  The duty cycle is dependent on Vin and will decrease at lower Vin voltages.</t>
        </r>
      </text>
    </comment>
    <comment ref="E46" authorId="0" shapeId="0" xr:uid="{00000000-0006-0000-0000-000011000000}">
      <text>
        <r>
          <rPr>
            <sz val="8"/>
            <color indexed="81"/>
            <rFont val="Tahoma"/>
            <family val="2"/>
          </rPr>
          <t>Rfb1 is typically chosen to be 1.21 k</t>
        </r>
        <r>
          <rPr>
            <sz val="8"/>
            <color indexed="81"/>
            <rFont val="Arial"/>
            <family val="2"/>
          </rPr>
          <t>Ω</t>
        </r>
        <r>
          <rPr>
            <sz val="8"/>
            <color indexed="81"/>
            <rFont val="Tahoma"/>
            <family val="2"/>
          </rPr>
          <t xml:space="preserve"> for a 1 mA divider current.</t>
        </r>
      </text>
    </comment>
    <comment ref="E49" authorId="0" shapeId="0" xr:uid="{00000000-0006-0000-0000-000012000000}">
      <text>
        <r>
          <rPr>
            <sz val="8"/>
            <color indexed="81"/>
            <rFont val="Tahoma"/>
            <family val="2"/>
          </rPr>
          <t>In diode emulation mode (Rdem = 0</t>
        </r>
        <r>
          <rPr>
            <sz val="8"/>
            <color indexed="81"/>
            <rFont val="Symbol"/>
            <family val="1"/>
            <charset val="2"/>
          </rPr>
          <t>W</t>
        </r>
        <r>
          <rPr>
            <sz val="8"/>
            <color indexed="81"/>
            <rFont val="Tahoma"/>
            <family val="2"/>
          </rPr>
          <t>), the lower FET is disabled for the remainder of the switching cycle if the inductor current ever goes negative (SW voltage &gt; 0V). This can occur under very light load conditions. With diode emulation mode disabled, the lower FET will conduct for the entire HO off-time and the inductor current will be  bi-directional  under light load conditions.
The DEMB pin sources a 45μA bias current that  flows through Rdem to  raise DEMB pin voltage and disable the diode emulation mode. Rdem must be chosen such that under all conditions:
 DEMB  voltage &gt;Iripple*(Rdson+Rs) , where Rdson is the nominal RDSON of the lower FET.</t>
        </r>
      </text>
    </comment>
    <comment ref="E50" authorId="0" shapeId="0" xr:uid="{00000000-0006-0000-0000-000013000000}">
      <text>
        <r>
          <rPr>
            <sz val="8"/>
            <color indexed="81"/>
            <rFont val="Tahoma"/>
            <family val="2"/>
          </rPr>
          <t xml:space="preserve">IF diode emulation is not required, this is the minimum value to prevent diode emulation.  Higher values are acceptable.
For diode emulation mode, Rdem = 0 </t>
        </r>
        <r>
          <rPr>
            <sz val="8"/>
            <color indexed="81"/>
            <rFont val="Arial"/>
            <family val="2"/>
          </rPr>
          <t>Ω</t>
        </r>
        <r>
          <rPr>
            <sz val="7.2"/>
            <color indexed="81"/>
            <rFont val="Tahoma"/>
            <family val="2"/>
          </rPr>
          <t>.</t>
        </r>
      </text>
    </comment>
    <comment ref="E52" authorId="2" shapeId="0" xr:uid="{00000000-0006-0000-0000-000014000000}">
      <text>
        <r>
          <rPr>
            <sz val="8"/>
            <color indexed="81"/>
            <rFont val="Tahoma"/>
            <family val="2"/>
          </rPr>
          <t>Chb &amp; Cvcc provide the transient gate charge currents for the external MOSFETs. To estimate the minimum capacitance, enter the gate charge for the low-side MOSFET (QG) from the MOSFET data sheet specification table or typical gate charge curve.
QG is also used to calculate the Power Dissipation.</t>
        </r>
      </text>
    </comment>
    <comment ref="E54" authorId="0" shapeId="0" xr:uid="{00000000-0006-0000-0000-000015000000}">
      <text>
        <r>
          <rPr>
            <sz val="8"/>
            <color indexed="81"/>
            <rFont val="Tahoma"/>
            <family val="2"/>
          </rPr>
          <t>MOSFET gate charge Qg is removed from Cvcc during each switching cycle.  The value of Cvcc is chosen to limit the Vcc ripple to less than 100mV.   Placement of Cvcc should be very close to the IC to minimize voltage transients caused by trace inductance and the transient gate current.</t>
        </r>
      </text>
    </comment>
    <comment ref="E55" authorId="2" shapeId="0" xr:uid="{00000000-0006-0000-0000-000016000000}">
      <text>
        <r>
          <rPr>
            <sz val="8"/>
            <color indexed="81"/>
            <rFont val="Tahoma"/>
            <family val="2"/>
          </rPr>
          <t>Chb &amp; Cvcc provide the transient gate charge currents for the external MOSFETs. To estimate the minimum capacitance, enter the gate charge for the high-side MOSFET (QG) from the MOSFET data sheet specification table or typical gate charge curve.
QG is also used to calculate the Power Dissipation.</t>
        </r>
      </text>
    </comment>
    <comment ref="E58" authorId="1" shapeId="0" xr:uid="{00000000-0006-0000-0000-000017000000}">
      <text>
        <r>
          <rPr>
            <sz val="8"/>
            <color indexed="81"/>
            <rFont val="Tahoma"/>
            <family val="2"/>
          </rPr>
          <t>VCC current is determined by the MOSFET gate charge, switching frequency and quiescent current such that:
ICC = (Qgh+Qgl)*Fsw + 1mA
To ensure start-up, ICC should be less than 15mA using Qgh and Qgl at VGS = VCC = 7.4V.
Failure to observe this rating may result in excessive MOSFET heating and potential damage.
ICC may exceed 15mA during normal run when VCCX is used, as long as the start-up requirement is met.</t>
        </r>
      </text>
    </comment>
    <comment ref="E59" authorId="1" shapeId="0" xr:uid="{00000000-0006-0000-0000-000018000000}">
      <text>
        <r>
          <rPr>
            <sz val="8"/>
            <color indexed="81"/>
            <rFont val="Tahoma"/>
            <family val="2"/>
          </rPr>
          <t>The VCC run current is calculated using:
VCC=7.4V if VCCX&lt;4.5V otherwise VCC=VCCX</t>
        </r>
      </text>
    </comment>
    <comment ref="E61" authorId="2" shapeId="0" xr:uid="{00000000-0006-0000-0000-000019000000}">
      <text>
        <r>
          <rPr>
            <sz val="8"/>
            <color indexed="81"/>
            <rFont val="Tahoma"/>
            <family val="2"/>
          </rPr>
          <t xml:space="preserve">A good quality input capacitor(s) is necessary to limit the ripple voltage at the VIN pin while supplying most of the switch current during the on-time.  A quality ceramic capacitor(s) with a low ESR is recommended. The input capacitor voltage rating should be greater than Vin(max), plus some safety margin. The recommended  input capacitor(s) value is inversely proportional to  the operating frequency, and is calculated to produce  </t>
        </r>
        <r>
          <rPr>
            <sz val="8"/>
            <color indexed="81"/>
            <rFont val="Arial"/>
            <family val="2"/>
          </rPr>
          <t>∆Vin</t>
        </r>
        <r>
          <rPr>
            <sz val="7.2"/>
            <color indexed="81"/>
            <rFont val="Tahoma"/>
            <family val="2"/>
          </rPr>
          <t xml:space="preserve"> = </t>
        </r>
        <r>
          <rPr>
            <sz val="8"/>
            <color indexed="81"/>
            <rFont val="Tahoma"/>
            <family val="2"/>
          </rPr>
          <t>0.5V at 50% duty cycle.  The minimum RMS ripple current rating for the input capacitor is approximately one-half the output current rating. 
See the data sheet Input Capacitors section for further information on input filter design and damping requirements.</t>
        </r>
      </text>
    </comment>
    <comment ref="E63" authorId="0" shapeId="0" xr:uid="{00000000-0006-0000-0000-00001A000000}">
      <text>
        <r>
          <rPr>
            <sz val="8"/>
            <color indexed="81"/>
            <rFont val="Tahoma"/>
            <family val="2"/>
          </rPr>
          <t xml:space="preserve">Enter a target closed loop bandwidth for the switching regulator.  The bandwidth should be at least one  order of magnitude lower than the switching frequency. </t>
        </r>
      </text>
    </comment>
    <comment ref="E64" authorId="0" shapeId="0" xr:uid="{00000000-0006-0000-0000-00001B000000}">
      <text>
        <r>
          <rPr>
            <sz val="8"/>
            <color indexed="81"/>
            <rFont val="Tahoma"/>
            <family val="2"/>
          </rPr>
          <t xml:space="preserve">Modulator transconductance:
Gm(mod)  =1/(A*Rs)
</t>
        </r>
      </text>
    </comment>
    <comment ref="E65" authorId="0" shapeId="0" xr:uid="{00000000-0006-0000-0000-00001C000000}">
      <text>
        <r>
          <rPr>
            <sz val="8"/>
            <color indexed="81"/>
            <rFont val="Tahoma"/>
            <family val="2"/>
          </rPr>
          <t>Modulator unity gain cross-over frequency from Comp to Vout: 
Fc(mod) = Gm(mod)/(2*pi*Cout)</t>
        </r>
      </text>
    </comment>
    <comment ref="E66" authorId="2" shapeId="0" xr:uid="{00000000-0006-0000-0000-00001D000000}">
      <text>
        <r>
          <rPr>
            <sz val="8"/>
            <color indexed="81"/>
            <rFont val="Tahoma"/>
            <family val="2"/>
          </rPr>
          <t xml:space="preserve">Ccomp and Rcomp configure the error amplifier gain characteristics to accomplish a stable overall feedback loop. 
Knowing the modulator cross-over frequency,  Rcomp is calculated to boost the regulator open loop gain such that the regulator cross-over frequency meets the desired target.  At frequencies near cross-over (fc), the overall loop gain can be approximated to be:
Avl = Rcomp/Rfb2 * Gm(mod)/(2*pi*f*Cout)  
</t>
        </r>
      </text>
    </comment>
    <comment ref="E67" authorId="0" shapeId="0" xr:uid="{00000000-0006-0000-0000-00001E000000}">
      <text>
        <r>
          <rPr>
            <sz val="8"/>
            <color indexed="81"/>
            <rFont val="Tahoma"/>
            <family val="2"/>
          </rPr>
          <t>Knowing Rcomp, Ccomp is calculated such that the error amplifier zero is one-tenth the target bandwidth of the regulator. This is the minimum value for Ccomp.</t>
        </r>
      </text>
    </comment>
    <comment ref="E68" authorId="0" shapeId="0" xr:uid="{00000000-0006-0000-0000-00001F000000}">
      <text>
        <r>
          <rPr>
            <sz val="8"/>
            <color indexed="81"/>
            <rFont val="Tahoma"/>
            <family val="2"/>
          </rPr>
          <t>Chf creates a pole to roll off the error amplifier gain. The pole  is set to 10 times the regulator bandwidth if Chf is chosen as: 
Chf = Comp/100. 
For output capacitors with high ESR, Chf is chosen as:
Chf = Cout*ESR/Rcomp.</t>
        </r>
      </text>
    </comment>
    <comment ref="E72" authorId="1" shapeId="0" xr:uid="{00000000-0006-0000-0000-000020000000}">
      <text>
        <r>
          <rPr>
            <sz val="8"/>
            <color indexed="81"/>
            <rFont val="Tahoma"/>
            <family val="2"/>
          </rPr>
          <t>tss is the time for the reference voltage and output voltage to reach their final value.  It should be substantially longer than the time required to charge Cout to Vout at the maximum output current. 
Tss  &gt; Vout*Cout/(Icurrentlimit-Iout)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 Heck</author>
  </authors>
  <commentList>
    <comment ref="B3" authorId="0" shapeId="0" xr:uid="{00000000-0006-0000-0100-000001000000}">
      <text>
        <r>
          <rPr>
            <sz val="8"/>
            <color indexed="81"/>
            <rFont val="Tahoma"/>
            <family val="2"/>
          </rPr>
          <t>The TSSOP exposed pad thermal resistance is approximately 40C/W</t>
        </r>
      </text>
    </comment>
    <comment ref="A6" authorId="0" shapeId="0" xr:uid="{00000000-0006-0000-0100-000002000000}">
      <text>
        <r>
          <rPr>
            <sz val="8"/>
            <color indexed="81"/>
            <rFont val="Tahoma"/>
            <family val="2"/>
          </rPr>
          <t>PD=Vin*(Iin+Icc) if VCCX=&lt;4.5:  All FET drive current comes from VIN
       =</t>
        </r>
        <r>
          <rPr>
            <b/>
            <sz val="8"/>
            <color indexed="81"/>
            <rFont val="Tahoma"/>
            <family val="2"/>
          </rPr>
          <t>Vin*Iin+Vin*Icc</t>
        </r>
        <r>
          <rPr>
            <sz val="8"/>
            <color indexed="81"/>
            <rFont val="Tahoma"/>
            <family val="2"/>
          </rPr>
          <t xml:space="preserve">  
  else </t>
        </r>
        <r>
          <rPr>
            <b/>
            <sz val="8"/>
            <color indexed="81"/>
            <rFont val="Tahoma"/>
            <family val="2"/>
          </rPr>
          <t>Vin*Iin+Vccx*Icc</t>
        </r>
        <r>
          <rPr>
            <sz val="8"/>
            <color indexed="81"/>
            <rFont val="Tahoma"/>
            <family val="2"/>
          </rPr>
          <t xml:space="preserve">:   FET drive comes from Vccx 
If VCCX&lt;4.5, Iin=6mA else Iin=1.6mA </t>
        </r>
      </text>
    </comment>
    <comment ref="A7" authorId="0" shapeId="0" xr:uid="{00000000-0006-0000-0100-000003000000}">
      <text>
        <r>
          <rPr>
            <sz val="8"/>
            <color indexed="81"/>
            <rFont val="Tahoma"/>
            <family val="2"/>
          </rPr>
          <t>LM5116 junction temperature above TA</t>
        </r>
      </text>
    </comment>
    <comment ref="A8" authorId="0" shapeId="0" xr:uid="{00000000-0006-0000-0100-000004000000}">
      <text>
        <r>
          <rPr>
            <sz val="8"/>
            <color indexed="81"/>
            <rFont val="Tahoma"/>
            <family val="2"/>
          </rPr>
          <t>Approximate absolute TJ</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Robert Sheehan</author>
  </authors>
  <commentList>
    <comment ref="J43" authorId="0" shapeId="0" xr:uid="{00000000-0006-0000-0200-000001000000}">
      <text>
        <r>
          <rPr>
            <sz val="8"/>
            <color indexed="81"/>
            <rFont val="Tahoma"/>
            <family val="2"/>
          </rPr>
          <t>Choose the Auto frequency compensation method to use the default values from the LM(2)5116 Calculator tab.  The Manual method allows the frequency compensation  to be tailored with user selected values.</t>
        </r>
      </text>
    </comment>
  </commentList>
</comments>
</file>

<file path=xl/sharedStrings.xml><?xml version="1.0" encoding="utf-8"?>
<sst xmlns="http://schemas.openxmlformats.org/spreadsheetml/2006/main" count="203" uniqueCount="176">
  <si>
    <t>Vout (V)</t>
  </si>
  <si>
    <t>Vin(min) (V)</t>
  </si>
  <si>
    <t>Vin(max) (V)</t>
  </si>
  <si>
    <r>
      <t>Rfb1 (</t>
    </r>
    <r>
      <rPr>
        <sz val="10"/>
        <rFont val="Symbol"/>
        <family val="1"/>
        <charset val="2"/>
      </rPr>
      <t>W</t>
    </r>
    <r>
      <rPr>
        <sz val="10"/>
        <rFont val="Arial"/>
      </rPr>
      <t>)</t>
    </r>
  </si>
  <si>
    <r>
      <t>Rfb2 (</t>
    </r>
    <r>
      <rPr>
        <sz val="10"/>
        <rFont val="Symbol"/>
        <family val="1"/>
        <charset val="2"/>
      </rPr>
      <t>W</t>
    </r>
    <r>
      <rPr>
        <sz val="10"/>
        <rFont val="Arial"/>
      </rPr>
      <t>)</t>
    </r>
  </si>
  <si>
    <r>
      <t>D</t>
    </r>
    <r>
      <rPr>
        <sz val="10"/>
        <rFont val="Arial"/>
      </rPr>
      <t>Vout (mV)</t>
    </r>
  </si>
  <si>
    <r>
      <t>Capacitor ESR (</t>
    </r>
    <r>
      <rPr>
        <sz val="10"/>
        <rFont val="Symbol"/>
        <family val="1"/>
        <charset val="2"/>
      </rPr>
      <t>W</t>
    </r>
    <r>
      <rPr>
        <sz val="10"/>
        <rFont val="Arial"/>
      </rPr>
      <t>)</t>
    </r>
  </si>
  <si>
    <r>
      <t>Rt (k</t>
    </r>
    <r>
      <rPr>
        <sz val="10"/>
        <rFont val="Symbol"/>
        <family val="1"/>
        <charset val="2"/>
      </rPr>
      <t>W</t>
    </r>
    <r>
      <rPr>
        <sz val="10"/>
        <rFont val="Arial"/>
      </rPr>
      <t>)</t>
    </r>
  </si>
  <si>
    <t>toff (ms)</t>
  </si>
  <si>
    <t>ton (ms)</t>
  </si>
  <si>
    <t>Duty Cycle</t>
  </si>
  <si>
    <t>Yes</t>
  </si>
  <si>
    <t>No</t>
  </si>
  <si>
    <t>RDSON</t>
  </si>
  <si>
    <t>R-sense</t>
  </si>
  <si>
    <t>Rs (mOhm)</t>
  </si>
  <si>
    <t>Step 1 - General  Requirements</t>
  </si>
  <si>
    <t>Gain Resistor Rg (Ohm)</t>
  </si>
  <si>
    <t>Step 3 - Switching Frequency</t>
  </si>
  <si>
    <t>Step 4 - Output Capacitors</t>
  </si>
  <si>
    <r>
      <t>Rdem (</t>
    </r>
    <r>
      <rPr>
        <sz val="10"/>
        <rFont val="Symbol"/>
        <family val="1"/>
        <charset val="2"/>
      </rPr>
      <t>W</t>
    </r>
    <r>
      <rPr>
        <sz val="10"/>
        <rFont val="Arial"/>
      </rPr>
      <t>)</t>
    </r>
  </si>
  <si>
    <t>-</t>
  </si>
  <si>
    <t>Ruv2 (kOhm)</t>
  </si>
  <si>
    <t>Required ?</t>
  </si>
  <si>
    <r>
      <t>C</t>
    </r>
    <r>
      <rPr>
        <sz val="10"/>
        <rFont val="Arial"/>
        <family val="2"/>
      </rPr>
      <t>ramp (pF)</t>
    </r>
  </si>
  <si>
    <t>Error Amp Zero (kHz)</t>
  </si>
  <si>
    <t>Modulator Gm(mod) (A/V)</t>
  </si>
  <si>
    <t>frequency (Hz)</t>
  </si>
  <si>
    <t>frequency (rad/sec)</t>
  </si>
  <si>
    <t>Modulator
Gain
(dB)</t>
  </si>
  <si>
    <t>Modulator
Phase
(deg)</t>
  </si>
  <si>
    <t>Overall Loop
Gain
(dB)</t>
  </si>
  <si>
    <t>Loop
Phase
(deg)</t>
  </si>
  <si>
    <t>Chf (pF)</t>
  </si>
  <si>
    <t>Ccomp (pF)</t>
  </si>
  <si>
    <t>Low -side MOSFET  Rds (mOhm)</t>
  </si>
  <si>
    <t>Ripple Current % of Maximum Load Current</t>
  </si>
  <si>
    <t>Target (% beyond Max Load)</t>
  </si>
  <si>
    <t>Current Sense Method</t>
  </si>
  <si>
    <t>Maximum Ave Load Current (A)</t>
  </si>
  <si>
    <t>VCCX voltage (V)</t>
  </si>
  <si>
    <t xml:space="preserve">Enter parameters in </t>
  </si>
  <si>
    <t xml:space="preserve">shaded cells. </t>
  </si>
  <si>
    <t>tss (ms)</t>
  </si>
  <si>
    <r>
      <t>Rramp (k</t>
    </r>
    <r>
      <rPr>
        <sz val="10"/>
        <rFont val="Symbol"/>
        <family val="1"/>
        <charset val="2"/>
      </rPr>
      <t>W</t>
    </r>
    <r>
      <rPr>
        <sz val="10"/>
        <rFont val="Arial"/>
      </rPr>
      <t>)</t>
    </r>
  </si>
  <si>
    <t>Short Circuit Current (A)</t>
  </si>
  <si>
    <r>
      <t>Cvcc (</t>
    </r>
    <r>
      <rPr>
        <sz val="10"/>
        <rFont val="Arial"/>
        <family val="2"/>
      </rPr>
      <t>μ</t>
    </r>
    <r>
      <rPr>
        <sz val="10"/>
        <rFont val="Arial"/>
      </rPr>
      <t>F)</t>
    </r>
  </si>
  <si>
    <r>
      <t>Chb (</t>
    </r>
    <r>
      <rPr>
        <sz val="10"/>
        <rFont val="Arial"/>
        <family val="2"/>
      </rPr>
      <t>μ</t>
    </r>
    <r>
      <rPr>
        <sz val="10"/>
        <rFont val="Arial"/>
      </rPr>
      <t>F)</t>
    </r>
  </si>
  <si>
    <r>
      <t>Cin (</t>
    </r>
    <r>
      <rPr>
        <sz val="10"/>
        <rFont val="Arial"/>
        <family val="2"/>
      </rPr>
      <t>μ</t>
    </r>
    <r>
      <rPr>
        <sz val="10"/>
        <rFont val="Arial"/>
      </rPr>
      <t>F)</t>
    </r>
  </si>
  <si>
    <r>
      <t>Css (</t>
    </r>
    <r>
      <rPr>
        <sz val="10"/>
        <rFont val="Arial"/>
        <family val="2"/>
      </rPr>
      <t>μ</t>
    </r>
    <r>
      <rPr>
        <sz val="10"/>
        <rFont val="Arial"/>
      </rPr>
      <t>F)</t>
    </r>
  </si>
  <si>
    <r>
      <t>Cft (</t>
    </r>
    <r>
      <rPr>
        <sz val="10"/>
        <rFont val="Arial"/>
        <family val="2"/>
      </rPr>
      <t>μ</t>
    </r>
    <r>
      <rPr>
        <sz val="10"/>
        <rFont val="Arial"/>
      </rPr>
      <t>F)</t>
    </r>
  </si>
  <si>
    <r>
      <t>Cout1 (</t>
    </r>
    <r>
      <rPr>
        <sz val="10"/>
        <rFont val="Arial"/>
        <family val="2"/>
      </rPr>
      <t>μ</t>
    </r>
    <r>
      <rPr>
        <sz val="10"/>
        <rFont val="Arial"/>
      </rPr>
      <t>F)</t>
    </r>
  </si>
  <si>
    <r>
      <t>Cout2 (</t>
    </r>
    <r>
      <rPr>
        <sz val="10"/>
        <rFont val="Arial"/>
        <family val="2"/>
      </rPr>
      <t>μ</t>
    </r>
    <r>
      <rPr>
        <sz val="10"/>
        <rFont val="Arial"/>
      </rPr>
      <t>F)</t>
    </r>
  </si>
  <si>
    <r>
      <t>Cout (</t>
    </r>
    <r>
      <rPr>
        <sz val="10"/>
        <rFont val="Arial"/>
        <family val="2"/>
      </rPr>
      <t>μ</t>
    </r>
    <r>
      <rPr>
        <sz val="10"/>
        <rFont val="Arial"/>
      </rPr>
      <t>F)</t>
    </r>
  </si>
  <si>
    <t>Figure 1 - R-sense Method with Rs</t>
  </si>
  <si>
    <t>Figure 2 - RDSON Method (no current sense resistor)</t>
  </si>
  <si>
    <t>Component</t>
  </si>
  <si>
    <t>Description</t>
  </si>
  <si>
    <t>Value</t>
  </si>
  <si>
    <t>Soft start capacitor</t>
  </si>
  <si>
    <t>Ramp capacitor</t>
  </si>
  <si>
    <t>Input capacitor</t>
  </si>
  <si>
    <t>Cramp</t>
  </si>
  <si>
    <t xml:space="preserve">Cin </t>
  </si>
  <si>
    <t>Css</t>
  </si>
  <si>
    <t>Output capacitor</t>
  </si>
  <si>
    <t>Cft</t>
  </si>
  <si>
    <t>UVLO filter capacitor</t>
  </si>
  <si>
    <t>Ccomp</t>
  </si>
  <si>
    <t>Compensation capacitor</t>
  </si>
  <si>
    <t>Chf</t>
  </si>
  <si>
    <t>Rating</t>
  </si>
  <si>
    <t>Cout1</t>
  </si>
  <si>
    <t>Cout2</t>
  </si>
  <si>
    <t>Cvcc</t>
  </si>
  <si>
    <t>Chb</t>
  </si>
  <si>
    <t>VCC bypass capacitor</t>
  </si>
  <si>
    <t>HB-SW bypass capacitor</t>
  </si>
  <si>
    <t>Rfb1</t>
  </si>
  <si>
    <t>Rfb2</t>
  </si>
  <si>
    <t>Ruv1</t>
  </si>
  <si>
    <t>Ruv2</t>
  </si>
  <si>
    <t>Feedback resistor</t>
  </si>
  <si>
    <t>UVLO divider resistor</t>
  </si>
  <si>
    <t>Rs</t>
  </si>
  <si>
    <t>Rt</t>
  </si>
  <si>
    <t>L</t>
  </si>
  <si>
    <t>Rramp</t>
  </si>
  <si>
    <t>Optional ramp resistor</t>
  </si>
  <si>
    <t>Inductor</t>
  </si>
  <si>
    <t>Rcomp</t>
  </si>
  <si>
    <t>Compensation resistor</t>
  </si>
  <si>
    <r>
      <t>L (</t>
    </r>
    <r>
      <rPr>
        <sz val="10"/>
        <rFont val="Arial"/>
        <family val="2"/>
      </rPr>
      <t>μ</t>
    </r>
    <r>
      <rPr>
        <sz val="10"/>
        <rFont val="Arial"/>
      </rPr>
      <t>H)</t>
    </r>
  </si>
  <si>
    <t>Rdem</t>
  </si>
  <si>
    <t>Diode emulation resistor</t>
  </si>
  <si>
    <t>5 V</t>
  </si>
  <si>
    <t>Average Load Current at Current Limit (A)</t>
  </si>
  <si>
    <t>Ambient Temperature</t>
  </si>
  <si>
    <t>Package RJA</t>
  </si>
  <si>
    <t>VIN</t>
  </si>
  <si>
    <t>IC Power</t>
  </si>
  <si>
    <t>delta TJ above TA</t>
  </si>
  <si>
    <t>Junction temperature</t>
  </si>
  <si>
    <t>Assumptions</t>
  </si>
  <si>
    <t xml:space="preserve">wzea = </t>
  </si>
  <si>
    <t xml:space="preserve">whf = </t>
  </si>
  <si>
    <t xml:space="preserve">wo = </t>
  </si>
  <si>
    <t xml:space="preserve">Rth = </t>
  </si>
  <si>
    <t xml:space="preserve">wth = </t>
  </si>
  <si>
    <t xml:space="preserve">Aol = </t>
  </si>
  <si>
    <t xml:space="preserve">wbw = </t>
  </si>
  <si>
    <t xml:space="preserve">Kfb = </t>
  </si>
  <si>
    <t>Actual Error Amplifier Gain
(dB)</t>
  </si>
  <si>
    <t>1/16 W</t>
  </si>
  <si>
    <t>Version 1.2</t>
  </si>
  <si>
    <t xml:space="preserve">Vin = </t>
  </si>
  <si>
    <t xml:space="preserve">D = </t>
  </si>
  <si>
    <t xml:space="preserve">Ksl = </t>
  </si>
  <si>
    <t xml:space="preserve">Vsl = </t>
  </si>
  <si>
    <t xml:space="preserve">Km = </t>
  </si>
  <si>
    <t xml:space="preserve">Ri = </t>
  </si>
  <si>
    <t xml:space="preserve">Kd = </t>
  </si>
  <si>
    <t xml:space="preserve">Gmod = </t>
  </si>
  <si>
    <t>Frequency Compensation Parameters</t>
  </si>
  <si>
    <t xml:space="preserve">wp = </t>
  </si>
  <si>
    <t xml:space="preserve">wz = </t>
  </si>
  <si>
    <t xml:space="preserve">Av = </t>
  </si>
  <si>
    <t xml:space="preserve">Se = </t>
  </si>
  <si>
    <t xml:space="preserve">Sap = </t>
  </si>
  <si>
    <t xml:space="preserve">wn = </t>
  </si>
  <si>
    <t xml:space="preserve">Q = </t>
  </si>
  <si>
    <t>Ideal Error Amplifier Phase (deg)</t>
  </si>
  <si>
    <t>Zea</t>
  </si>
  <si>
    <t>Aea</t>
  </si>
  <si>
    <t>Actual Error Amplifier Phase
(deg)</t>
  </si>
  <si>
    <t>Amplifier Aol &amp; Fbw Offset
(dB)</t>
  </si>
  <si>
    <t>Amplifier Aol &amp; Fbw Offset
(deg)</t>
  </si>
  <si>
    <t>Bandwidth Fc (kHz)</t>
  </si>
  <si>
    <t>Modulator cross over frequency Fc(mod) (kHz)</t>
  </si>
  <si>
    <t>Auto</t>
  </si>
  <si>
    <t>Manual</t>
  </si>
  <si>
    <t>Frequency Compensation Method</t>
  </si>
  <si>
    <r>
      <t>Rcomp (k</t>
    </r>
    <r>
      <rPr>
        <sz val="10"/>
        <rFont val="Symbol"/>
        <family val="1"/>
        <charset val="2"/>
      </rPr>
      <t>W</t>
    </r>
    <r>
      <rPr>
        <sz val="10"/>
        <rFont val="Arial"/>
      </rPr>
      <t>)</t>
    </r>
  </si>
  <si>
    <t>LM(2)5116 Quick Start Component Calculator</t>
  </si>
  <si>
    <t xml:space="preserve">Recommended IC </t>
  </si>
  <si>
    <t>tss(min) (ms)</t>
  </si>
  <si>
    <t>Step 2 - Current Limit</t>
  </si>
  <si>
    <t>Low-side MOSFET Qg at VGS=4.5V (nC)</t>
  </si>
  <si>
    <t>Low-side MOSFET Qg at VGS=10V (nC)</t>
  </si>
  <si>
    <t>Hi-side MOSFET Qg at VGS=4.5V (nC)</t>
  </si>
  <si>
    <t>Hi-side MOSFET Qg at VGS=10V (nC)</t>
  </si>
  <si>
    <t>VCC Start-Up Current ICC (mA)</t>
  </si>
  <si>
    <t>VCC Run Current ICC (mA)</t>
  </si>
  <si>
    <t>16 V</t>
  </si>
  <si>
    <t>LM(2)5116 List of Components</t>
  </si>
  <si>
    <t>Rg</t>
  </si>
  <si>
    <t>Step 5 - Inductor Value</t>
  </si>
  <si>
    <t>Step 6 - Ramp Capacitor</t>
  </si>
  <si>
    <t>Step 7 - VIN Undervoltage Shutdown</t>
  </si>
  <si>
    <t>Step 8 - Current Limit Hiccup Duty Cycle</t>
  </si>
  <si>
    <t>Step 9 - Feedback Resistors</t>
  </si>
  <si>
    <t>Step 10 - Diode Emulation Mode</t>
  </si>
  <si>
    <t>Step 11 - Chb &amp; Cvcc Capacitor</t>
  </si>
  <si>
    <t>Step 12 - Input Capacitor</t>
  </si>
  <si>
    <t>Step 13 - Compensation Network</t>
  </si>
  <si>
    <t>Step 14 - Soft Start Capacitor</t>
  </si>
  <si>
    <t>Fsw (kHz)</t>
  </si>
  <si>
    <r>
      <t>Ruv1 (kO</t>
    </r>
    <r>
      <rPr>
        <sz val="10"/>
        <rFont val="Arial"/>
        <family val="2"/>
      </rPr>
      <t>hm)</t>
    </r>
  </si>
  <si>
    <t>Ideal Error Amplifier Gain
(dB)</t>
  </si>
  <si>
    <t>Sense resistor</t>
  </si>
  <si>
    <t>Gain resistors</t>
  </si>
  <si>
    <t>Oscillator timing resistor</t>
  </si>
  <si>
    <t>5% COG</t>
  </si>
  <si>
    <t>X7R</t>
  </si>
  <si>
    <t>Isat (min)</t>
  </si>
  <si>
    <t>Revision date:  20 Feb 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</si>
</sst>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64" formatCode="0.0&quot;µF&quot;"/>
    <numFmt numFmtId="165" formatCode="0&quot;pF&quot;"/>
    <numFmt numFmtId="166" formatCode="0&quot;µF&quot;"/>
    <numFmt numFmtId="167" formatCode="0.00&quot;KOhm&quot;"/>
    <numFmt numFmtId="168" formatCode="0&quot;KOhm&quot;"/>
    <numFmt numFmtId="169" formatCode="#,##0.0"/>
    <numFmt numFmtId="170" formatCode="0.0"/>
    <numFmt numFmtId="171" formatCode="0.0&quot;A&quot;"/>
    <numFmt numFmtId="172" formatCode="0&quot;%&quot;"/>
    <numFmt numFmtId="173" formatCode="0.0000"/>
    <numFmt numFmtId="174" formatCode="#,##0;[Red]#,##0"/>
    <numFmt numFmtId="175" formatCode="0;[Red]0"/>
    <numFmt numFmtId="176" formatCode="0.000"/>
    <numFmt numFmtId="177" formatCode="0.0\ &quot;W&quot;"/>
    <numFmt numFmtId="178" formatCode="0\ &quot;V&quot;"/>
    <numFmt numFmtId="179" formatCode="0.0\ &quot;A&quot;"/>
    <numFmt numFmtId="180" formatCode="0\ &quot;C&quot;"/>
    <numFmt numFmtId="181" formatCode="0\ &quot;C/W&quot;"/>
    <numFmt numFmtId="182" formatCode="0.0\ &quot;V&quot;"/>
    <numFmt numFmtId="183" formatCode="0.000\ &quot;W&quot;"/>
    <numFmt numFmtId="184" formatCode="0.000\ &quot;μF&quot;"/>
    <numFmt numFmtId="185" formatCode="0.0\ &quot;μF&quot;"/>
    <numFmt numFmtId="186" formatCode="#,##0\ &quot;pF&quot;"/>
    <numFmt numFmtId="187" formatCode="0.0\ &quot;μH&quot;"/>
    <numFmt numFmtId="188" formatCode="0.00\ &quot;kΩ&quot;"/>
    <numFmt numFmtId="189" formatCode="0.0\ &quot;kΩ&quot;"/>
    <numFmt numFmtId="190" formatCode="0.0\ &quot;mΩ&quot;"/>
    <numFmt numFmtId="191" formatCode="0.0%"/>
    <numFmt numFmtId="192" formatCode="#,##0\ &quot;Ω&quot;"/>
    <numFmt numFmtId="193" formatCode="#,##0\ &quot;μF&quot;"/>
    <numFmt numFmtId="194" formatCode="0.00\ &quot;μF&quot;"/>
    <numFmt numFmtId="195" formatCode="0.00\ &quot;A RMS&quot;"/>
  </numFmts>
  <fonts count="28" x14ac:knownFonts="1">
    <font>
      <sz val="10"/>
      <name val="Arial"/>
    </font>
    <font>
      <sz val="10"/>
      <name val="Arial"/>
    </font>
    <font>
      <b/>
      <sz val="10"/>
      <name val="Arial"/>
      <family val="2"/>
    </font>
    <font>
      <sz val="10"/>
      <name val="Arial"/>
      <family val="2"/>
    </font>
    <font>
      <sz val="10"/>
      <color indexed="8"/>
      <name val="Arial"/>
      <family val="2"/>
    </font>
    <font>
      <b/>
      <sz val="10"/>
      <color indexed="10"/>
      <name val="Arial"/>
      <family val="2"/>
    </font>
    <font>
      <sz val="10"/>
      <name val="Symbol"/>
      <family val="1"/>
      <charset val="2"/>
    </font>
    <font>
      <sz val="8"/>
      <color indexed="81"/>
      <name val="Tahoma"/>
      <family val="2"/>
    </font>
    <font>
      <sz val="8"/>
      <color indexed="81"/>
      <name val="Symbol"/>
      <family val="1"/>
      <charset val="2"/>
    </font>
    <font>
      <b/>
      <sz val="14"/>
      <name val="Arial"/>
      <family val="2"/>
    </font>
    <font>
      <sz val="14"/>
      <name val="Arial"/>
      <family val="2"/>
    </font>
    <font>
      <sz val="11"/>
      <color indexed="10"/>
      <name val="Arial"/>
      <family val="2"/>
    </font>
    <font>
      <sz val="9"/>
      <color indexed="57"/>
      <name val="Arial"/>
      <family val="2"/>
    </font>
    <font>
      <sz val="10"/>
      <color indexed="57"/>
      <name val="Arial"/>
      <family val="2"/>
    </font>
    <font>
      <sz val="10"/>
      <color indexed="9"/>
      <name val="Arial"/>
      <family val="2"/>
    </font>
    <font>
      <b/>
      <sz val="10"/>
      <color indexed="10"/>
      <name val="Arial"/>
      <family val="2"/>
    </font>
    <font>
      <sz val="11"/>
      <color indexed="57"/>
      <name val="Arial"/>
      <family val="2"/>
    </font>
    <font>
      <b/>
      <sz val="10"/>
      <color indexed="52"/>
      <name val="Arial"/>
      <family val="2"/>
    </font>
    <font>
      <sz val="10"/>
      <color indexed="10"/>
      <name val="Arial"/>
      <family val="2"/>
    </font>
    <font>
      <sz val="9"/>
      <color indexed="10"/>
      <name val="Arial"/>
      <family val="2"/>
    </font>
    <font>
      <b/>
      <sz val="8"/>
      <color indexed="81"/>
      <name val="Tahoma"/>
      <family val="2"/>
    </font>
    <font>
      <sz val="8"/>
      <color indexed="22"/>
      <name val="Arial"/>
      <family val="2"/>
    </font>
    <font>
      <sz val="8"/>
      <color indexed="81"/>
      <name val="Arial"/>
      <family val="2"/>
    </font>
    <font>
      <sz val="7.2"/>
      <color indexed="81"/>
      <name val="Tahoma"/>
      <family val="2"/>
    </font>
    <font>
      <sz val="8"/>
      <name val="Arial"/>
      <family val="2"/>
    </font>
    <font>
      <b/>
      <sz val="10"/>
      <name val="Arial"/>
      <family val="2"/>
    </font>
    <font>
      <sz val="7.2"/>
      <color indexed="81"/>
      <name val="Arial"/>
      <family val="2"/>
    </font>
    <font>
      <sz val="6.5"/>
      <color indexed="81"/>
      <name val="Tahoma"/>
      <family val="2"/>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1">
    <xf numFmtId="0" fontId="0" fillId="0" borderId="0"/>
  </cellStyleXfs>
  <cellXfs count="160">
    <xf numFmtId="0" fontId="0" fillId="0" borderId="0" xfId="0"/>
    <xf numFmtId="0" fontId="0" fillId="0" borderId="1" xfId="0" applyBorder="1" applyProtection="1"/>
    <xf numFmtId="0" fontId="0" fillId="0" borderId="1" xfId="0" applyBorder="1" applyAlignment="1" applyProtection="1">
      <alignment horizontal="right"/>
    </xf>
    <xf numFmtId="0" fontId="0" fillId="0" borderId="1" xfId="0" applyBorder="1" applyAlignment="1" applyProtection="1">
      <alignment horizontal="center"/>
    </xf>
    <xf numFmtId="0" fontId="9" fillId="0" borderId="0" xfId="0" applyFont="1" applyBorder="1" applyAlignment="1" applyProtection="1"/>
    <xf numFmtId="0" fontId="0" fillId="0" borderId="0" xfId="0" applyBorder="1" applyProtection="1"/>
    <xf numFmtId="0" fontId="0" fillId="0" borderId="0" xfId="0" applyBorder="1" applyAlignment="1" applyProtection="1">
      <alignment horizontal="right"/>
    </xf>
    <xf numFmtId="0" fontId="0" fillId="0" borderId="0" xfId="0" applyBorder="1" applyAlignment="1" applyProtection="1">
      <alignment horizontal="center"/>
    </xf>
    <xf numFmtId="0" fontId="2" fillId="0" borderId="0" xfId="0" applyFont="1" applyBorder="1" applyProtection="1"/>
    <xf numFmtId="0" fontId="5" fillId="0" borderId="0" xfId="0" applyFont="1" applyBorder="1" applyProtection="1"/>
    <xf numFmtId="0" fontId="3" fillId="0" borderId="0" xfId="0" applyFont="1" applyBorder="1" applyAlignment="1" applyProtection="1">
      <alignment horizontal="right"/>
    </xf>
    <xf numFmtId="0" fontId="6" fillId="0" borderId="0" xfId="0" applyFont="1" applyBorder="1" applyAlignment="1" applyProtection="1">
      <alignment horizontal="right"/>
    </xf>
    <xf numFmtId="0" fontId="0" fillId="2" borderId="2" xfId="0" applyFill="1" applyBorder="1" applyAlignment="1" applyProtection="1">
      <alignment horizontal="center" shrinkToFit="1"/>
      <protection locked="0"/>
    </xf>
    <xf numFmtId="172" fontId="0" fillId="2" borderId="2" xfId="0" applyNumberFormat="1" applyFill="1" applyBorder="1" applyAlignment="1" applyProtection="1">
      <alignment horizontal="center" shrinkToFit="1"/>
      <protection locked="0"/>
    </xf>
    <xf numFmtId="0" fontId="0" fillId="0" borderId="0" xfId="0" applyFill="1" applyBorder="1" applyProtection="1"/>
    <xf numFmtId="0" fontId="0" fillId="0" borderId="0" xfId="0" applyFill="1" applyBorder="1" applyAlignment="1" applyProtection="1"/>
    <xf numFmtId="0" fontId="1" fillId="0" borderId="0" xfId="0" applyFont="1" applyBorder="1" applyProtection="1"/>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4" fillId="0" borderId="0" xfId="0" applyFont="1" applyBorder="1" applyProtection="1"/>
    <xf numFmtId="164" fontId="4" fillId="0" borderId="0" xfId="0" applyNumberFormat="1" applyFont="1" applyBorder="1" applyAlignment="1" applyProtection="1">
      <alignment horizontal="center"/>
    </xf>
    <xf numFmtId="0" fontId="1" fillId="0" borderId="0" xfId="0" applyFont="1" applyBorder="1" applyAlignment="1" applyProtection="1"/>
    <xf numFmtId="0" fontId="4" fillId="0" borderId="0" xfId="0" applyFont="1" applyBorder="1" applyAlignment="1" applyProtection="1"/>
    <xf numFmtId="0" fontId="1" fillId="0" borderId="0" xfId="0" applyFont="1" applyBorder="1" applyAlignment="1" applyProtection="1">
      <alignment horizontal="center"/>
    </xf>
    <xf numFmtId="0" fontId="3" fillId="0" borderId="0" xfId="0" applyFont="1" applyBorder="1" applyProtection="1"/>
    <xf numFmtId="171" fontId="4" fillId="0" borderId="0" xfId="0" applyNumberFormat="1" applyFont="1" applyBorder="1" applyAlignment="1" applyProtection="1">
      <alignment horizontal="center"/>
    </xf>
    <xf numFmtId="165" fontId="4" fillId="0" borderId="0" xfId="0" applyNumberFormat="1" applyFont="1" applyBorder="1" applyAlignment="1" applyProtection="1">
      <alignment horizontal="center"/>
    </xf>
    <xf numFmtId="11" fontId="1" fillId="0" borderId="0" xfId="0" applyNumberFormat="1" applyFont="1" applyBorder="1" applyAlignment="1" applyProtection="1">
      <alignment horizontal="center" shrinkToFit="1"/>
    </xf>
    <xf numFmtId="2" fontId="1" fillId="0" borderId="0" xfId="0" applyNumberFormat="1" applyFont="1" applyBorder="1" applyAlignment="1" applyProtection="1">
      <alignment horizontal="center" shrinkToFit="1"/>
    </xf>
    <xf numFmtId="0" fontId="1" fillId="0" borderId="0" xfId="0" applyFont="1" applyFill="1" applyBorder="1" applyProtection="1"/>
    <xf numFmtId="0" fontId="2" fillId="0" borderId="0" xfId="0" applyFont="1" applyBorder="1" applyAlignment="1" applyProtection="1">
      <alignment horizontal="left"/>
    </xf>
    <xf numFmtId="0" fontId="0" fillId="0" borderId="0" xfId="0" applyFill="1" applyBorder="1" applyAlignment="1" applyProtection="1">
      <alignment horizontal="right"/>
    </xf>
    <xf numFmtId="175" fontId="1" fillId="0" borderId="0" xfId="0" applyNumberFormat="1" applyFont="1" applyBorder="1" applyAlignment="1" applyProtection="1">
      <alignment horizontal="center" shrinkToFit="1"/>
    </xf>
    <xf numFmtId="167" fontId="4" fillId="0" borderId="0" xfId="0" applyNumberFormat="1" applyFont="1" applyBorder="1" applyAlignment="1" applyProtection="1">
      <alignment horizontal="center"/>
    </xf>
    <xf numFmtId="168" fontId="4" fillId="0" borderId="0" xfId="0" applyNumberFormat="1" applyFont="1" applyBorder="1" applyAlignment="1" applyProtection="1">
      <alignment horizontal="center"/>
    </xf>
    <xf numFmtId="3" fontId="1" fillId="2" borderId="2" xfId="0" applyNumberFormat="1" applyFont="1" applyFill="1" applyBorder="1" applyAlignment="1" applyProtection="1">
      <alignment horizontal="center" shrinkToFit="1"/>
      <protection locked="0"/>
    </xf>
    <xf numFmtId="1" fontId="1" fillId="2" borderId="2" xfId="0" applyNumberFormat="1" applyFont="1" applyFill="1" applyBorder="1" applyAlignment="1" applyProtection="1">
      <alignment horizontal="center" shrinkToFit="1"/>
      <protection locked="0"/>
    </xf>
    <xf numFmtId="1" fontId="1" fillId="0" borderId="2" xfId="0" applyNumberFormat="1" applyFont="1" applyBorder="1" applyAlignment="1" applyProtection="1">
      <alignment horizontal="center" shrinkToFit="1"/>
    </xf>
    <xf numFmtId="0" fontId="1" fillId="2" borderId="2" xfId="0" applyFont="1" applyFill="1" applyBorder="1" applyAlignment="1" applyProtection="1">
      <alignment horizontal="center" shrinkToFit="1"/>
      <protection locked="0"/>
    </xf>
    <xf numFmtId="4" fontId="1" fillId="0" borderId="2" xfId="0" applyNumberFormat="1" applyFont="1" applyBorder="1" applyAlignment="1" applyProtection="1">
      <alignment horizontal="center" shrinkToFit="1"/>
    </xf>
    <xf numFmtId="170" fontId="1" fillId="0" borderId="2" xfId="0" applyNumberFormat="1" applyFont="1" applyBorder="1" applyAlignment="1" applyProtection="1">
      <alignment horizontal="center" shrinkToFit="1"/>
    </xf>
    <xf numFmtId="2" fontId="1" fillId="0" borderId="2" xfId="0" applyNumberFormat="1" applyFont="1" applyBorder="1" applyAlignment="1" applyProtection="1">
      <alignment horizontal="center"/>
    </xf>
    <xf numFmtId="2" fontId="1" fillId="3" borderId="2" xfId="0" applyNumberFormat="1" applyFont="1" applyFill="1" applyBorder="1" applyAlignment="1" applyProtection="1">
      <alignment horizontal="center" shrinkToFit="1"/>
    </xf>
    <xf numFmtId="2" fontId="0" fillId="3" borderId="2" xfId="0" applyNumberFormat="1" applyFill="1" applyBorder="1" applyAlignment="1" applyProtection="1">
      <alignment horizontal="center"/>
    </xf>
    <xf numFmtId="0" fontId="15" fillId="0" borderId="0" xfId="0" applyFont="1" applyFill="1" applyBorder="1" applyProtection="1"/>
    <xf numFmtId="2" fontId="1" fillId="0" borderId="2" xfId="0" quotePrefix="1" applyNumberFormat="1" applyFont="1" applyBorder="1" applyAlignment="1" applyProtection="1">
      <alignment horizontal="center" shrinkToFit="1"/>
    </xf>
    <xf numFmtId="0" fontId="2" fillId="2" borderId="2" xfId="0" applyFont="1" applyFill="1" applyBorder="1" applyAlignment="1" applyProtection="1">
      <alignment horizontal="center"/>
      <protection locked="0"/>
    </xf>
    <xf numFmtId="2" fontId="1" fillId="2" borderId="2" xfId="0" applyNumberFormat="1" applyFont="1" applyFill="1" applyBorder="1" applyAlignment="1" applyProtection="1">
      <alignment horizontal="center" shrinkToFit="1"/>
      <protection locked="0"/>
    </xf>
    <xf numFmtId="0" fontId="10" fillId="0" borderId="0" xfId="0" applyFont="1" applyBorder="1" applyAlignment="1" applyProtection="1"/>
    <xf numFmtId="0" fontId="0" fillId="0" borderId="0" xfId="0" applyBorder="1" applyAlignment="1" applyProtection="1"/>
    <xf numFmtId="0" fontId="15" fillId="0" borderId="0" xfId="0" applyFont="1" applyBorder="1" applyProtection="1"/>
    <xf numFmtId="0" fontId="0" fillId="0" borderId="0" xfId="0" applyProtection="1"/>
    <xf numFmtId="0" fontId="13" fillId="0" borderId="0" xfId="0" applyFont="1" applyBorder="1" applyAlignment="1" applyProtection="1">
      <alignment horizontal="left" vertical="center" wrapText="1"/>
    </xf>
    <xf numFmtId="0" fontId="0" fillId="0" borderId="0" xfId="0" applyBorder="1" applyAlignment="1" applyProtection="1">
      <alignment horizontal="left"/>
    </xf>
    <xf numFmtId="2" fontId="0" fillId="0" borderId="2" xfId="0" applyNumberFormat="1" applyBorder="1" applyAlignment="1" applyProtection="1">
      <alignment horizontal="center" shrinkToFit="1"/>
    </xf>
    <xf numFmtId="11"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0" fontId="2" fillId="0" borderId="0" xfId="0" applyFont="1" applyAlignment="1">
      <alignment horizontal="center" wrapText="1"/>
    </xf>
    <xf numFmtId="1" fontId="0" fillId="0" borderId="0" xfId="0" applyNumberFormat="1" applyAlignment="1">
      <alignment horizontal="center"/>
    </xf>
    <xf numFmtId="0" fontId="18" fillId="0" borderId="0" xfId="0" applyFont="1" applyBorder="1" applyProtection="1"/>
    <xf numFmtId="1" fontId="0" fillId="0" borderId="2" xfId="0" applyNumberFormat="1" applyBorder="1" applyAlignment="1" applyProtection="1">
      <alignment horizontal="center" shrinkToFit="1"/>
    </xf>
    <xf numFmtId="2" fontId="0" fillId="2" borderId="2" xfId="0" applyNumberFormat="1" applyFill="1" applyBorder="1" applyAlignment="1" applyProtection="1">
      <alignment horizontal="center" shrinkToFit="1"/>
      <protection locked="0"/>
    </xf>
    <xf numFmtId="2" fontId="0" fillId="2" borderId="2" xfId="0" applyNumberFormat="1" applyFill="1" applyBorder="1" applyAlignment="1" applyProtection="1">
      <alignment horizontal="center"/>
      <protection locked="0"/>
    </xf>
    <xf numFmtId="0" fontId="16"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0" fillId="3" borderId="2" xfId="0" applyFill="1" applyBorder="1" applyAlignment="1" applyProtection="1">
      <alignment horizontal="center" shrinkToFit="1"/>
    </xf>
    <xf numFmtId="0" fontId="2" fillId="0" borderId="0" xfId="0" applyFont="1" applyBorder="1" applyAlignment="1" applyProtection="1">
      <alignment horizontal="left" vertical="center" wrapText="1"/>
    </xf>
    <xf numFmtId="169" fontId="1" fillId="3" borderId="2" xfId="0" applyNumberFormat="1" applyFont="1" applyFill="1" applyBorder="1" applyAlignment="1" applyProtection="1">
      <alignment horizontal="center" shrinkToFit="1"/>
    </xf>
    <xf numFmtId="0" fontId="11" fillId="0" borderId="0" xfId="0" applyFont="1" applyBorder="1" applyAlignment="1" applyProtection="1">
      <alignment horizontal="left" vertical="center" wrapText="1"/>
    </xf>
    <xf numFmtId="176" fontId="0" fillId="0" borderId="2" xfId="0" applyNumberFormat="1" applyBorder="1" applyAlignment="1" applyProtection="1">
      <alignment horizontal="center" shrinkToFit="1"/>
    </xf>
    <xf numFmtId="0" fontId="17" fillId="0" borderId="0" xfId="0" applyFont="1" applyBorder="1" applyProtection="1"/>
    <xf numFmtId="0" fontId="21" fillId="0" borderId="0" xfId="0" applyFont="1" applyBorder="1" applyAlignment="1" applyProtection="1"/>
    <xf numFmtId="170" fontId="0" fillId="3" borderId="2" xfId="0" applyNumberFormat="1" applyFill="1" applyBorder="1" applyAlignment="1" applyProtection="1">
      <alignment horizontal="center" shrinkToFit="1"/>
    </xf>
    <xf numFmtId="3" fontId="0" fillId="0" borderId="2" xfId="0" applyNumberFormat="1" applyBorder="1" applyAlignment="1" applyProtection="1">
      <alignment horizontal="center" shrinkToFit="1"/>
    </xf>
    <xf numFmtId="3" fontId="1" fillId="0" borderId="2" xfId="0" applyNumberFormat="1" applyFont="1" applyBorder="1" applyAlignment="1" applyProtection="1">
      <alignment horizontal="center" shrinkToFit="1"/>
    </xf>
    <xf numFmtId="3" fontId="0" fillId="3" borderId="3" xfId="0" applyNumberFormat="1" applyFill="1" applyBorder="1" applyAlignment="1" applyProtection="1">
      <alignment horizontal="center"/>
    </xf>
    <xf numFmtId="174" fontId="1" fillId="0" borderId="2" xfId="0" applyNumberFormat="1" applyFont="1" applyBorder="1" applyAlignment="1" applyProtection="1">
      <alignment horizontal="center" shrinkToFit="1"/>
    </xf>
    <xf numFmtId="174" fontId="1" fillId="2" borderId="2" xfId="0" applyNumberFormat="1" applyFont="1" applyFill="1" applyBorder="1" applyAlignment="1" applyProtection="1">
      <alignment horizontal="center" shrinkToFit="1"/>
      <protection locked="0"/>
    </xf>
    <xf numFmtId="170" fontId="1" fillId="2" borderId="2" xfId="0" applyNumberFormat="1" applyFont="1" applyFill="1" applyBorder="1" applyAlignment="1" applyProtection="1">
      <alignment horizontal="center"/>
      <protection locked="0"/>
    </xf>
    <xf numFmtId="0" fontId="14" fillId="3" borderId="0" xfId="0" applyFont="1" applyFill="1" applyBorder="1" applyAlignment="1" applyProtection="1">
      <alignment horizontal="center"/>
      <protection locked="0"/>
    </xf>
    <xf numFmtId="0" fontId="1" fillId="0" borderId="0" xfId="0" applyFont="1" applyBorder="1" applyAlignment="1" applyProtection="1">
      <alignment horizontal="right"/>
    </xf>
    <xf numFmtId="166" fontId="2" fillId="0" borderId="0" xfId="0" applyNumberFormat="1" applyFont="1" applyBorder="1" applyAlignment="1" applyProtection="1">
      <alignment horizontal="left"/>
    </xf>
    <xf numFmtId="0" fontId="2" fillId="0" borderId="4" xfId="0" applyFont="1" applyBorder="1" applyAlignment="1">
      <alignment horizontal="center"/>
    </xf>
    <xf numFmtId="0" fontId="2" fillId="0" borderId="5" xfId="0" applyFont="1" applyBorder="1"/>
    <xf numFmtId="0" fontId="2" fillId="0" borderId="5" xfId="0" applyFont="1" applyBorder="1" applyAlignment="1">
      <alignment horizontal="center"/>
    </xf>
    <xf numFmtId="0" fontId="0" fillId="0" borderId="6" xfId="0" applyBorder="1" applyAlignment="1">
      <alignment horizontal="center"/>
    </xf>
    <xf numFmtId="0" fontId="0" fillId="0" borderId="2"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xf numFmtId="14" fontId="0" fillId="0" borderId="0" xfId="0" applyNumberFormat="1" applyBorder="1" applyAlignment="1" applyProtection="1"/>
    <xf numFmtId="0" fontId="2" fillId="0" borderId="0" xfId="0" applyFont="1" applyAlignment="1">
      <alignment horizontal="center"/>
    </xf>
    <xf numFmtId="0" fontId="0" fillId="0" borderId="0" xfId="0" applyBorder="1" applyAlignment="1">
      <alignment horizontal="center"/>
    </xf>
    <xf numFmtId="183" fontId="0" fillId="0" borderId="0" xfId="0" applyNumberFormat="1" applyAlignment="1">
      <alignment horizontal="center"/>
    </xf>
    <xf numFmtId="180" fontId="0" fillId="0" borderId="0" xfId="0" applyNumberFormat="1" applyAlignment="1">
      <alignment horizontal="center"/>
    </xf>
    <xf numFmtId="182" fontId="0" fillId="0" borderId="0" xfId="0" applyNumberFormat="1" applyAlignment="1">
      <alignment horizontal="center"/>
    </xf>
    <xf numFmtId="180" fontId="0" fillId="2" borderId="10" xfId="0" applyNumberFormat="1" applyFill="1" applyBorder="1" applyAlignment="1" applyProtection="1">
      <alignment horizontal="center"/>
      <protection locked="0"/>
    </xf>
    <xf numFmtId="181" fontId="0" fillId="2" borderId="10" xfId="0" applyNumberFormat="1" applyFill="1" applyBorder="1" applyAlignment="1" applyProtection="1">
      <alignment horizontal="center"/>
      <protection locked="0"/>
    </xf>
    <xf numFmtId="170" fontId="0" fillId="0" borderId="0" xfId="0" applyNumberFormat="1" applyAlignment="1">
      <alignment horizontal="center"/>
    </xf>
    <xf numFmtId="0" fontId="0" fillId="0" borderId="0" xfId="0" applyAlignment="1">
      <alignment horizontal="right"/>
    </xf>
    <xf numFmtId="173" fontId="0" fillId="0" borderId="0" xfId="0" applyNumberFormat="1" applyAlignment="1">
      <alignment horizontal="center"/>
    </xf>
    <xf numFmtId="176" fontId="0" fillId="0" borderId="0" xfId="0" applyNumberFormat="1" applyAlignment="1">
      <alignment horizontal="center"/>
    </xf>
    <xf numFmtId="11" fontId="0" fillId="0" borderId="0" xfId="0" applyNumberFormat="1" applyAlignment="1">
      <alignment horizontal="right"/>
    </xf>
    <xf numFmtId="0" fontId="0" fillId="0" borderId="0" xfId="0" applyNumberFormat="1" applyAlignment="1"/>
    <xf numFmtId="0" fontId="0" fillId="0" borderId="0" xfId="0" applyNumberFormat="1" applyAlignment="1">
      <alignment wrapText="1"/>
    </xf>
    <xf numFmtId="0" fontId="25" fillId="0" borderId="0" xfId="0" applyFont="1" applyAlignment="1">
      <alignment horizontal="center"/>
    </xf>
    <xf numFmtId="0" fontId="2" fillId="0" borderId="0" xfId="0" applyFont="1" applyBorder="1" applyAlignment="1">
      <alignment horizontal="center" wrapText="1"/>
    </xf>
    <xf numFmtId="0" fontId="25" fillId="2" borderId="2" xfId="0" applyFont="1" applyFill="1" applyBorder="1" applyAlignment="1" applyProtection="1">
      <alignment horizontal="center"/>
      <protection locked="0"/>
    </xf>
    <xf numFmtId="169" fontId="0" fillId="0" borderId="2" xfId="0" applyNumberFormat="1" applyBorder="1" applyAlignment="1" applyProtection="1">
      <alignment horizontal="center" shrinkToFit="1"/>
    </xf>
    <xf numFmtId="0" fontId="0" fillId="0" borderId="0" xfId="0" applyBorder="1" applyAlignment="1">
      <alignment horizontal="right"/>
    </xf>
    <xf numFmtId="1" fontId="0" fillId="0" borderId="0" xfId="0" quotePrefix="1" applyNumberFormat="1" applyBorder="1" applyAlignment="1">
      <alignment horizontal="left"/>
    </xf>
    <xf numFmtId="0" fontId="0" fillId="0" borderId="0" xfId="0" applyBorder="1" applyAlignment="1">
      <alignment horizontal="left"/>
    </xf>
    <xf numFmtId="3" fontId="0" fillId="0" borderId="2" xfId="0" applyNumberFormat="1" applyFill="1" applyBorder="1" applyAlignment="1" applyProtection="1">
      <alignment horizontal="center"/>
    </xf>
    <xf numFmtId="11" fontId="0" fillId="0" borderId="0" xfId="0" applyNumberFormat="1" applyBorder="1" applyAlignment="1">
      <alignment horizontal="left"/>
    </xf>
    <xf numFmtId="169" fontId="1" fillId="0" borderId="3" xfId="0" applyNumberFormat="1" applyFont="1" applyBorder="1" applyAlignment="1" applyProtection="1">
      <alignment horizontal="center" shrinkToFit="1"/>
    </xf>
    <xf numFmtId="169" fontId="0" fillId="0" borderId="3" xfId="0" applyNumberFormat="1" applyFill="1" applyBorder="1" applyAlignment="1" applyProtection="1">
      <alignment horizontal="center"/>
    </xf>
    <xf numFmtId="0" fontId="0" fillId="0" borderId="2" xfId="0" applyFill="1" applyBorder="1" applyAlignment="1">
      <alignment horizontal="center"/>
    </xf>
    <xf numFmtId="0" fontId="0" fillId="0" borderId="2" xfId="0" applyBorder="1" applyAlignment="1">
      <alignment horizontal="center"/>
    </xf>
    <xf numFmtId="169" fontId="0" fillId="2" borderId="3" xfId="0" applyNumberFormat="1" applyFill="1" applyBorder="1" applyAlignment="1" applyProtection="1">
      <alignment horizontal="center"/>
      <protection locked="0"/>
    </xf>
    <xf numFmtId="3" fontId="0" fillId="2" borderId="2" xfId="0" applyNumberFormat="1" applyFill="1" applyBorder="1" applyAlignment="1" applyProtection="1">
      <alignment horizontal="center"/>
      <protection locked="0"/>
    </xf>
    <xf numFmtId="0" fontId="0" fillId="0" borderId="0" xfId="0" applyNumberFormat="1" applyFill="1" applyBorder="1" applyAlignment="1" applyProtection="1">
      <alignment horizontal="center" shrinkToFit="1"/>
    </xf>
    <xf numFmtId="0" fontId="25" fillId="0" borderId="2" xfId="0" applyNumberFormat="1" applyFont="1" applyFill="1" applyBorder="1" applyAlignment="1" applyProtection="1">
      <alignment horizontal="center" shrinkToFit="1"/>
    </xf>
    <xf numFmtId="2" fontId="0" fillId="0" borderId="2" xfId="0" applyNumberFormat="1" applyBorder="1" applyAlignment="1" applyProtection="1">
      <alignment horizontal="center"/>
    </xf>
    <xf numFmtId="170" fontId="1" fillId="2" borderId="2" xfId="0" applyNumberFormat="1" applyFont="1" applyFill="1" applyBorder="1" applyAlignment="1" applyProtection="1">
      <alignment horizontal="center" shrinkToFit="1"/>
      <protection locked="0"/>
    </xf>
    <xf numFmtId="0" fontId="25" fillId="0" borderId="0" xfId="0" applyFont="1" applyBorder="1" applyAlignment="1">
      <alignment horizontal="right" indent="1"/>
    </xf>
    <xf numFmtId="2" fontId="3" fillId="0" borderId="0" xfId="0" applyNumberFormat="1" applyFont="1" applyBorder="1" applyProtection="1"/>
    <xf numFmtId="2" fontId="5" fillId="0" borderId="0" xfId="0" applyNumberFormat="1" applyFont="1" applyBorder="1" applyProtection="1"/>
    <xf numFmtId="2" fontId="0" fillId="0" borderId="0" xfId="0" applyNumberFormat="1" applyBorder="1" applyProtection="1"/>
    <xf numFmtId="170" fontId="0" fillId="2" borderId="2" xfId="0" applyNumberFormat="1" applyFill="1" applyBorder="1" applyAlignment="1" applyProtection="1">
      <alignment horizontal="center" shrinkToFit="1"/>
      <protection locked="0"/>
    </xf>
    <xf numFmtId="170" fontId="0" fillId="0" borderId="2" xfId="0" applyNumberFormat="1" applyBorder="1" applyAlignment="1" applyProtection="1">
      <alignment horizontal="center" shrinkToFit="1"/>
    </xf>
    <xf numFmtId="184" fontId="0" fillId="0" borderId="2" xfId="0" applyNumberFormat="1" applyBorder="1" applyAlignment="1">
      <alignment horizontal="center"/>
    </xf>
    <xf numFmtId="185" fontId="0" fillId="0" borderId="2" xfId="0" applyNumberFormat="1" applyBorder="1" applyAlignment="1">
      <alignment horizontal="center"/>
    </xf>
    <xf numFmtId="186" fontId="0" fillId="0" borderId="2" xfId="0" applyNumberFormat="1" applyBorder="1" applyAlignment="1">
      <alignment horizontal="center"/>
    </xf>
    <xf numFmtId="187" fontId="0" fillId="0" borderId="2" xfId="0" applyNumberFormat="1" applyBorder="1" applyAlignment="1">
      <alignment horizontal="center"/>
    </xf>
    <xf numFmtId="0" fontId="3" fillId="0" borderId="0" xfId="0" applyFont="1" applyFill="1" applyBorder="1" applyAlignment="1">
      <alignment horizontal="center"/>
    </xf>
    <xf numFmtId="188" fontId="0" fillId="0" borderId="2" xfId="0" applyNumberFormat="1" applyBorder="1" applyAlignment="1">
      <alignment horizontal="center"/>
    </xf>
    <xf numFmtId="189" fontId="0" fillId="0" borderId="2" xfId="0" applyNumberFormat="1" applyBorder="1" applyAlignment="1">
      <alignment horizontal="center"/>
    </xf>
    <xf numFmtId="190" fontId="0" fillId="0" borderId="2" xfId="0" applyNumberFormat="1" applyBorder="1" applyAlignment="1">
      <alignment horizontal="center"/>
    </xf>
    <xf numFmtId="189" fontId="0" fillId="0" borderId="9" xfId="0" applyNumberFormat="1" applyBorder="1" applyAlignment="1">
      <alignment horizontal="center"/>
    </xf>
    <xf numFmtId="0" fontId="0" fillId="2" borderId="2" xfId="0" applyNumberFormat="1" applyFill="1" applyBorder="1" applyAlignment="1" applyProtection="1">
      <alignment horizontal="center" shrinkToFit="1"/>
      <protection locked="0"/>
    </xf>
    <xf numFmtId="169" fontId="1" fillId="0" borderId="2" xfId="0" applyNumberFormat="1" applyFont="1" applyBorder="1" applyAlignment="1" applyProtection="1">
      <alignment horizontal="center" shrinkToFit="1"/>
    </xf>
    <xf numFmtId="191" fontId="0" fillId="3" borderId="2" xfId="0" applyNumberFormat="1" applyFill="1" applyBorder="1" applyAlignment="1" applyProtection="1">
      <alignment horizontal="center"/>
    </xf>
    <xf numFmtId="192" fontId="0" fillId="0" borderId="2" xfId="0" applyNumberFormat="1" applyBorder="1" applyAlignment="1">
      <alignment horizontal="center"/>
    </xf>
    <xf numFmtId="193" fontId="0" fillId="0" borderId="2" xfId="0" applyNumberFormat="1" applyBorder="1" applyAlignment="1">
      <alignment horizontal="center"/>
    </xf>
    <xf numFmtId="194" fontId="0" fillId="0" borderId="2" xfId="0" applyNumberFormat="1" applyBorder="1" applyAlignment="1">
      <alignment horizontal="center"/>
    </xf>
    <xf numFmtId="178" fontId="0" fillId="0" borderId="11" xfId="0" applyNumberFormat="1" applyBorder="1" applyAlignment="1">
      <alignment horizontal="center"/>
    </xf>
    <xf numFmtId="0" fontId="0" fillId="0" borderId="11" xfId="0" applyBorder="1" applyAlignment="1">
      <alignment horizontal="center"/>
    </xf>
    <xf numFmtId="177" fontId="0" fillId="0" borderId="11" xfId="0" applyNumberFormat="1" applyBorder="1" applyAlignment="1">
      <alignment horizontal="center"/>
    </xf>
    <xf numFmtId="179" fontId="0" fillId="0" borderId="11" xfId="0" applyNumberFormat="1" applyBorder="1" applyAlignment="1">
      <alignment horizontal="center"/>
    </xf>
    <xf numFmtId="0" fontId="0" fillId="0" borderId="12" xfId="0" applyBorder="1" applyAlignment="1">
      <alignment horizontal="center"/>
    </xf>
    <xf numFmtId="195" fontId="0" fillId="0" borderId="7" xfId="0" applyNumberFormat="1" applyBorder="1" applyAlignment="1">
      <alignment horizontal="center"/>
    </xf>
    <xf numFmtId="9" fontId="0" fillId="0" borderId="7" xfId="0" applyNumberFormat="1" applyBorder="1" applyAlignment="1">
      <alignment horizontal="center"/>
    </xf>
    <xf numFmtId="9" fontId="0" fillId="0" borderId="13" xfId="0" applyNumberFormat="1" applyBorder="1" applyAlignment="1">
      <alignment horizontal="center"/>
    </xf>
    <xf numFmtId="9" fontId="0" fillId="0" borderId="7" xfId="0" quotePrefix="1" applyNumberFormat="1" applyBorder="1" applyAlignment="1">
      <alignment horizontal="center"/>
    </xf>
    <xf numFmtId="0" fontId="2" fillId="0" borderId="14" xfId="0" applyFont="1" applyBorder="1" applyAlignment="1">
      <alignment horizontal="center"/>
    </xf>
    <xf numFmtId="0" fontId="0" fillId="0" borderId="15" xfId="0" applyBorder="1" applyAlignment="1">
      <alignment horizontal="center"/>
    </xf>
    <xf numFmtId="0" fontId="2" fillId="0" borderId="16" xfId="0" applyFont="1" applyBorder="1" applyAlignment="1">
      <alignment horizontal="center"/>
    </xf>
    <xf numFmtId="0" fontId="0" fillId="0" borderId="16" xfId="0" applyBorder="1" applyAlignment="1"/>
  </cellXfs>
  <cellStyles count="1">
    <cellStyle name="Normal" xfId="0" builtinId="0"/>
  </cellStyles>
  <dxfs count="13">
    <dxf>
      <font>
        <condense val="0"/>
        <extend val="0"/>
        <color indexed="44"/>
      </font>
    </dxf>
    <dxf>
      <font>
        <condense val="0"/>
        <extend val="0"/>
        <color indexed="10"/>
      </font>
    </dxf>
    <dxf>
      <font>
        <condense val="0"/>
        <extend val="0"/>
        <color indexed="9"/>
      </font>
    </dxf>
    <dxf>
      <font>
        <b/>
        <i val="0"/>
        <condense val="0"/>
        <extend val="0"/>
        <color indexed="10"/>
      </font>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auto="1"/>
      </font>
    </dxf>
    <dxf>
      <font>
        <condense val="0"/>
        <extend val="0"/>
        <color indexed="9"/>
      </font>
      <fill>
        <patternFill>
          <bgColor indexed="9"/>
        </patternFill>
      </fill>
    </dxf>
    <dxf>
      <font>
        <condense val="0"/>
        <extend val="0"/>
        <color indexed="44"/>
      </font>
    </dxf>
    <dxf>
      <font>
        <condense val="0"/>
        <extend val="0"/>
        <color indexed="8"/>
      </font>
      <fill>
        <patternFill>
          <bgColor indexed="41"/>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condense val="0"/>
        <extend val="0"/>
        <color indexed="9"/>
      </font>
      <border>
        <left/>
        <right/>
        <top/>
        <bottom/>
      </border>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IN"/>
              <a:t>LM5116 Junction Temperature vs VIN</a:t>
            </a:r>
          </a:p>
        </c:rich>
      </c:tx>
      <c:layout>
        <c:manualLayout>
          <c:xMode val="edge"/>
          <c:yMode val="edge"/>
          <c:x val="0.28905130093186937"/>
          <c:y val="3.2828363785224773E-2"/>
        </c:manualLayout>
      </c:layout>
      <c:overlay val="0"/>
      <c:spPr>
        <a:noFill/>
        <a:ln w="25400">
          <a:noFill/>
        </a:ln>
      </c:spPr>
    </c:title>
    <c:autoTitleDeleted val="0"/>
    <c:plotArea>
      <c:layout>
        <c:manualLayout>
          <c:layoutTarget val="inner"/>
          <c:xMode val="edge"/>
          <c:yMode val="edge"/>
          <c:x val="0.10364970892001377"/>
          <c:y val="0.17676811268967185"/>
          <c:w val="0.8627743376299738"/>
          <c:h val="0.63383994693010903"/>
        </c:manualLayout>
      </c:layout>
      <c:scatterChart>
        <c:scatterStyle val="smoothMarker"/>
        <c:varyColors val="0"/>
        <c:ser>
          <c:idx val="0"/>
          <c:order val="0"/>
          <c:tx>
            <c:strRef>
              <c:f>'Power Dissipation'!$A$8</c:f>
              <c:strCache>
                <c:ptCount val="1"/>
                <c:pt idx="0">
                  <c:v>Junction temperature</c:v>
                </c:pt>
              </c:strCache>
            </c:strRef>
          </c:tx>
          <c:spPr>
            <a:ln w="12700">
              <a:solidFill>
                <a:srgbClr val="000080"/>
              </a:solidFill>
              <a:prstDash val="solid"/>
            </a:ln>
          </c:spPr>
          <c:marker>
            <c:symbol val="none"/>
          </c:marker>
          <c:xVal>
            <c:numRef>
              <c:f>'Power Dissipation'!$B$5:$L$5</c:f>
              <c:numCache>
                <c:formatCode>0.0\ "V"</c:formatCode>
                <c:ptCount val="11"/>
                <c:pt idx="0">
                  <c:v>36</c:v>
                </c:pt>
                <c:pt idx="1">
                  <c:v>38.4</c:v>
                </c:pt>
                <c:pt idx="2">
                  <c:v>40.799999999999997</c:v>
                </c:pt>
                <c:pt idx="3">
                  <c:v>43.2</c:v>
                </c:pt>
                <c:pt idx="4">
                  <c:v>45.6</c:v>
                </c:pt>
                <c:pt idx="5">
                  <c:v>48</c:v>
                </c:pt>
                <c:pt idx="6">
                  <c:v>50.4</c:v>
                </c:pt>
                <c:pt idx="7">
                  <c:v>52.8</c:v>
                </c:pt>
                <c:pt idx="8">
                  <c:v>55.2</c:v>
                </c:pt>
                <c:pt idx="9">
                  <c:v>57.6</c:v>
                </c:pt>
                <c:pt idx="10">
                  <c:v>60</c:v>
                </c:pt>
              </c:numCache>
            </c:numRef>
          </c:xVal>
          <c:yVal>
            <c:numRef>
              <c:f>'Power Dissipation'!$B$8:$L$8</c:f>
              <c:numCache>
                <c:formatCode>0\ "C"</c:formatCode>
                <c:ptCount val="11"/>
                <c:pt idx="0">
                  <c:v>71.90894545454546</c:v>
                </c:pt>
                <c:pt idx="1">
                  <c:v>73.369541818181816</c:v>
                </c:pt>
                <c:pt idx="2">
                  <c:v>74.830138181818171</c:v>
                </c:pt>
                <c:pt idx="3">
                  <c:v>76.290734545454541</c:v>
                </c:pt>
                <c:pt idx="4">
                  <c:v>77.75133090909091</c:v>
                </c:pt>
                <c:pt idx="5">
                  <c:v>79.21192727272728</c:v>
                </c:pt>
                <c:pt idx="6">
                  <c:v>80.672523636363636</c:v>
                </c:pt>
                <c:pt idx="7">
                  <c:v>82.133119999999991</c:v>
                </c:pt>
                <c:pt idx="8">
                  <c:v>83.593716363636361</c:v>
                </c:pt>
                <c:pt idx="9">
                  <c:v>85.05431272727273</c:v>
                </c:pt>
                <c:pt idx="10">
                  <c:v>86.5149090909091</c:v>
                </c:pt>
              </c:numCache>
            </c:numRef>
          </c:yVal>
          <c:smooth val="1"/>
          <c:extLst>
            <c:ext xmlns:c16="http://schemas.microsoft.com/office/drawing/2014/chart" uri="{C3380CC4-5D6E-409C-BE32-E72D297353CC}">
              <c16:uniqueId val="{00000000-A900-488D-BA85-1CBD7DA8A2B6}"/>
            </c:ext>
          </c:extLst>
        </c:ser>
        <c:dLbls>
          <c:showLegendKey val="0"/>
          <c:showVal val="0"/>
          <c:showCatName val="0"/>
          <c:showSerName val="0"/>
          <c:showPercent val="0"/>
          <c:showBubbleSize val="0"/>
        </c:dLbls>
        <c:axId val="1319450448"/>
        <c:axId val="1"/>
      </c:scatterChart>
      <c:valAx>
        <c:axId val="1319450448"/>
        <c:scaling>
          <c:orientation val="minMax"/>
        </c:scaling>
        <c:delete val="0"/>
        <c:axPos val="b"/>
        <c:majorGridlines>
          <c:spPr>
            <a:ln w="3175">
              <a:solidFill>
                <a:srgbClr val="CCCCFF"/>
              </a:solidFill>
              <a:prstDash val="sysDash"/>
            </a:ln>
          </c:spPr>
        </c:majorGridlines>
        <c:title>
          <c:tx>
            <c:rich>
              <a:bodyPr/>
              <a:lstStyle/>
              <a:p>
                <a:pPr>
                  <a:defRPr sz="1200" b="1" i="0" u="none" strike="noStrike" baseline="0">
                    <a:solidFill>
                      <a:srgbClr val="000000"/>
                    </a:solidFill>
                    <a:latin typeface="Arial"/>
                    <a:ea typeface="Arial"/>
                    <a:cs typeface="Arial"/>
                  </a:defRPr>
                </a:pPr>
                <a:r>
                  <a:rPr lang="en-IN"/>
                  <a:t>VIN (V)</a:t>
                </a:r>
              </a:p>
            </c:rich>
          </c:tx>
          <c:layout>
            <c:manualLayout>
              <c:xMode val="edge"/>
              <c:yMode val="edge"/>
              <c:x val="0.49197115360626253"/>
              <c:y val="0.8888910809537784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crossBetween val="midCat"/>
      </c:valAx>
      <c:valAx>
        <c:axId val="1"/>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IN"/>
                  <a:t>TJ (C)</a:t>
                </a:r>
              </a:p>
            </c:rich>
          </c:tx>
          <c:layout>
            <c:manualLayout>
              <c:xMode val="edge"/>
              <c:yMode val="edge"/>
              <c:x val="2.3357680883383386E-2"/>
              <c:y val="0.429293987960631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19450448"/>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N"/>
              <a:t>Error Amplifier Gain/Phase
VOUT to COMP </a:t>
            </a:r>
          </a:p>
        </c:rich>
      </c:tx>
      <c:layout>
        <c:manualLayout>
          <c:xMode val="edge"/>
          <c:yMode val="edge"/>
          <c:x val="0.33766305140492131"/>
          <c:y val="3.8596623480754801E-2"/>
        </c:manualLayout>
      </c:layout>
      <c:overlay val="0"/>
      <c:spPr>
        <a:noFill/>
        <a:ln w="25400">
          <a:noFill/>
        </a:ln>
      </c:spPr>
    </c:title>
    <c:autoTitleDeleted val="0"/>
    <c:plotArea>
      <c:layout>
        <c:manualLayout>
          <c:layoutTarget val="inner"/>
          <c:xMode val="edge"/>
          <c:yMode val="edge"/>
          <c:x val="0.14069293808538388"/>
          <c:y val="0.21403582112054934"/>
          <c:w val="0.71645173086557024"/>
          <c:h val="0.56842300035293436"/>
        </c:manualLayout>
      </c:layout>
      <c:scatterChart>
        <c:scatterStyle val="smoothMarker"/>
        <c:varyColors val="0"/>
        <c:ser>
          <c:idx val="0"/>
          <c:order val="0"/>
          <c:tx>
            <c:v>Gain</c:v>
          </c:tx>
          <c:spPr>
            <a:ln w="25400">
              <a:solidFill>
                <a:srgbClr val="000080"/>
              </a:solidFill>
              <a:prstDash val="solid"/>
            </a:ln>
          </c:spPr>
          <c:marker>
            <c:symbol val="none"/>
          </c:marker>
          <c:xVal>
            <c:numRef>
              <c:f>'Frequency Compensation Graphs'!$A$2:$A$23</c:f>
              <c:numCache>
                <c:formatCode>0.00E+00</c:formatCode>
                <c:ptCount val="22"/>
                <c:pt idx="0">
                  <c:v>1.4999999999999999E-2</c:v>
                </c:pt>
                <c:pt idx="1">
                  <c:v>3.7499999999999999E-2</c:v>
                </c:pt>
                <c:pt idx="2">
                  <c:v>7.4999999999999997E-2</c:v>
                </c:pt>
                <c:pt idx="3">
                  <c:v>0.15</c:v>
                </c:pt>
                <c:pt idx="4">
                  <c:v>0.375</c:v>
                </c:pt>
                <c:pt idx="5">
                  <c:v>0.75</c:v>
                </c:pt>
                <c:pt idx="6">
                  <c:v>1.5</c:v>
                </c:pt>
                <c:pt idx="7">
                  <c:v>3.75</c:v>
                </c:pt>
                <c:pt idx="8">
                  <c:v>7.5</c:v>
                </c:pt>
                <c:pt idx="9">
                  <c:v>15</c:v>
                </c:pt>
                <c:pt idx="10">
                  <c:v>37.5</c:v>
                </c:pt>
                <c:pt idx="11">
                  <c:v>75</c:v>
                </c:pt>
                <c:pt idx="12">
                  <c:v>150</c:v>
                </c:pt>
                <c:pt idx="13">
                  <c:v>375</c:v>
                </c:pt>
                <c:pt idx="14">
                  <c:v>750</c:v>
                </c:pt>
                <c:pt idx="15">
                  <c:v>1500</c:v>
                </c:pt>
                <c:pt idx="16">
                  <c:v>3750</c:v>
                </c:pt>
                <c:pt idx="17">
                  <c:v>7500</c:v>
                </c:pt>
                <c:pt idx="18">
                  <c:v>15000</c:v>
                </c:pt>
                <c:pt idx="19">
                  <c:v>37500</c:v>
                </c:pt>
                <c:pt idx="20">
                  <c:v>75001</c:v>
                </c:pt>
                <c:pt idx="21">
                  <c:v>150000</c:v>
                </c:pt>
              </c:numCache>
            </c:numRef>
          </c:xVal>
          <c:yVal>
            <c:numRef>
              <c:f>'Frequency Compensation Graphs'!$G$2:$G$23</c:f>
              <c:numCache>
                <c:formatCode>0.0</c:formatCode>
                <c:ptCount val="22"/>
                <c:pt idx="0">
                  <c:v>58.524251983495446</c:v>
                </c:pt>
                <c:pt idx="1">
                  <c:v>58.524127385870806</c:v>
                </c:pt>
                <c:pt idx="2">
                  <c:v>58.523682423533387</c:v>
                </c:pt>
                <c:pt idx="3">
                  <c:v>58.521903029943616</c:v>
                </c:pt>
                <c:pt idx="4">
                  <c:v>58.509467646951649</c:v>
                </c:pt>
                <c:pt idx="5">
                  <c:v>58.465343998613307</c:v>
                </c:pt>
                <c:pt idx="6">
                  <c:v>58.293200238853672</c:v>
                </c:pt>
                <c:pt idx="7">
                  <c:v>57.248209069585968</c:v>
                </c:pt>
                <c:pt idx="8">
                  <c:v>54.783787559244786</c:v>
                </c:pt>
                <c:pt idx="9">
                  <c:v>50.418891197604673</c:v>
                </c:pt>
                <c:pt idx="10">
                  <c:v>43.065624432576151</c:v>
                </c:pt>
                <c:pt idx="11">
                  <c:v>37.142457583408572</c:v>
                </c:pt>
                <c:pt idx="12">
                  <c:v>31.160671628791409</c:v>
                </c:pt>
                <c:pt idx="13">
                  <c:v>23.312664549378376</c:v>
                </c:pt>
                <c:pt idx="14">
                  <c:v>17.645707272102136</c:v>
                </c:pt>
                <c:pt idx="15">
                  <c:v>12.80418016507423</c:v>
                </c:pt>
                <c:pt idx="16">
                  <c:v>9.0924336911969661</c:v>
                </c:pt>
                <c:pt idx="17">
                  <c:v>8.1246694966364998</c:v>
                </c:pt>
                <c:pt idx="18">
                  <c:v>7.6957849994747747</c:v>
                </c:pt>
                <c:pt idx="19">
                  <c:v>6.6228001149050968</c:v>
                </c:pt>
                <c:pt idx="20">
                  <c:v>4.2269784160364514</c:v>
                </c:pt>
                <c:pt idx="21">
                  <c:v>-7.4114115085649246E-2</c:v>
                </c:pt>
              </c:numCache>
            </c:numRef>
          </c:yVal>
          <c:smooth val="1"/>
          <c:extLst>
            <c:ext xmlns:c16="http://schemas.microsoft.com/office/drawing/2014/chart" uri="{C3380CC4-5D6E-409C-BE32-E72D297353CC}">
              <c16:uniqueId val="{00000000-D83A-485D-8DBA-35EA46A9E4B5}"/>
            </c:ext>
          </c:extLst>
        </c:ser>
        <c:dLbls>
          <c:showLegendKey val="0"/>
          <c:showVal val="0"/>
          <c:showCatName val="0"/>
          <c:showSerName val="0"/>
          <c:showPercent val="0"/>
          <c:showBubbleSize val="0"/>
        </c:dLbls>
        <c:axId val="1319432080"/>
        <c:axId val="1"/>
      </c:scatterChart>
      <c:scatterChart>
        <c:scatterStyle val="lineMarker"/>
        <c:varyColors val="0"/>
        <c:ser>
          <c:idx val="1"/>
          <c:order val="1"/>
          <c:tx>
            <c:v>Phase</c:v>
          </c:tx>
          <c:spPr>
            <a:ln w="25400">
              <a:solidFill>
                <a:srgbClr val="FF00FF"/>
              </a:solidFill>
              <a:prstDash val="solid"/>
            </a:ln>
          </c:spPr>
          <c:marker>
            <c:symbol val="none"/>
          </c:marker>
          <c:xVal>
            <c:numRef>
              <c:f>'Frequency Compensation Graphs'!$A$2:$A$23</c:f>
              <c:numCache>
                <c:formatCode>0.00E+00</c:formatCode>
                <c:ptCount val="22"/>
                <c:pt idx="0">
                  <c:v>1.4999999999999999E-2</c:v>
                </c:pt>
                <c:pt idx="1">
                  <c:v>3.7499999999999999E-2</c:v>
                </c:pt>
                <c:pt idx="2">
                  <c:v>7.4999999999999997E-2</c:v>
                </c:pt>
                <c:pt idx="3">
                  <c:v>0.15</c:v>
                </c:pt>
                <c:pt idx="4">
                  <c:v>0.375</c:v>
                </c:pt>
                <c:pt idx="5">
                  <c:v>0.75</c:v>
                </c:pt>
                <c:pt idx="6">
                  <c:v>1.5</c:v>
                </c:pt>
                <c:pt idx="7">
                  <c:v>3.75</c:v>
                </c:pt>
                <c:pt idx="8">
                  <c:v>7.5</c:v>
                </c:pt>
                <c:pt idx="9">
                  <c:v>15</c:v>
                </c:pt>
                <c:pt idx="10">
                  <c:v>37.5</c:v>
                </c:pt>
                <c:pt idx="11">
                  <c:v>75</c:v>
                </c:pt>
                <c:pt idx="12">
                  <c:v>150</c:v>
                </c:pt>
                <c:pt idx="13">
                  <c:v>375</c:v>
                </c:pt>
                <c:pt idx="14">
                  <c:v>750</c:v>
                </c:pt>
                <c:pt idx="15">
                  <c:v>1500</c:v>
                </c:pt>
                <c:pt idx="16">
                  <c:v>3750</c:v>
                </c:pt>
                <c:pt idx="17">
                  <c:v>7500</c:v>
                </c:pt>
                <c:pt idx="18">
                  <c:v>15000</c:v>
                </c:pt>
                <c:pt idx="19">
                  <c:v>37500</c:v>
                </c:pt>
                <c:pt idx="20">
                  <c:v>75001</c:v>
                </c:pt>
                <c:pt idx="21">
                  <c:v>150000</c:v>
                </c:pt>
              </c:numCache>
            </c:numRef>
          </c:xVal>
          <c:yVal>
            <c:numRef>
              <c:f>'Frequency Compensation Graphs'!$J$2:$J$23</c:f>
              <c:numCache>
                <c:formatCode>0.0</c:formatCode>
                <c:ptCount val="22"/>
                <c:pt idx="0">
                  <c:v>179.8664373029564</c:v>
                </c:pt>
                <c:pt idx="1">
                  <c:v>179.66609645966156</c:v>
                </c:pt>
                <c:pt idx="2">
                  <c:v>179.33221579088422</c:v>
                </c:pt>
                <c:pt idx="3">
                  <c:v>178.66461449803467</c:v>
                </c:pt>
                <c:pt idx="4">
                  <c:v>176.66473099801405</c:v>
                </c:pt>
                <c:pt idx="5">
                  <c:v>173.35210389700075</c:v>
                </c:pt>
                <c:pt idx="6">
                  <c:v>166.87999362931794</c:v>
                </c:pt>
                <c:pt idx="7">
                  <c:v>149.79127645895278</c:v>
                </c:pt>
                <c:pt idx="8">
                  <c:v>130.73711016399983</c:v>
                </c:pt>
                <c:pt idx="9">
                  <c:v>113.53734143424306</c:v>
                </c:pt>
                <c:pt idx="10">
                  <c:v>100.65349924667521</c:v>
                </c:pt>
                <c:pt idx="11">
                  <c:v>96.776923084541366</c:v>
                </c:pt>
                <c:pt idx="12">
                  <c:v>96.218811342450948</c:v>
                </c:pt>
                <c:pt idx="13">
                  <c:v>100.325807373743</c:v>
                </c:pt>
                <c:pt idx="14">
                  <c:v>108.65924777008145</c:v>
                </c:pt>
                <c:pt idx="15">
                  <c:v>123.22085948288128</c:v>
                </c:pt>
                <c:pt idx="16">
                  <c:v>146.42446528627093</c:v>
                </c:pt>
                <c:pt idx="17">
                  <c:v>157.17194219633393</c:v>
                </c:pt>
                <c:pt idx="18">
                  <c:v>158.78443481193636</c:v>
                </c:pt>
                <c:pt idx="19">
                  <c:v>146.81465137074312</c:v>
                </c:pt>
                <c:pt idx="20">
                  <c:v>129.19456453030372</c:v>
                </c:pt>
                <c:pt idx="21">
                  <c:v>111.93744572820479</c:v>
                </c:pt>
              </c:numCache>
            </c:numRef>
          </c:yVal>
          <c:smooth val="1"/>
          <c:extLst>
            <c:ext xmlns:c16="http://schemas.microsoft.com/office/drawing/2014/chart" uri="{C3380CC4-5D6E-409C-BE32-E72D297353CC}">
              <c16:uniqueId val="{00000001-D83A-485D-8DBA-35EA46A9E4B5}"/>
            </c:ext>
          </c:extLst>
        </c:ser>
        <c:dLbls>
          <c:showLegendKey val="0"/>
          <c:showVal val="0"/>
          <c:showCatName val="0"/>
          <c:showSerName val="0"/>
          <c:showPercent val="0"/>
          <c:showBubbleSize val="0"/>
        </c:dLbls>
        <c:axId val="3"/>
        <c:axId val="4"/>
      </c:scatterChart>
      <c:valAx>
        <c:axId val="1319432080"/>
        <c:scaling>
          <c:logBase val="10"/>
          <c:orientation val="minMax"/>
          <c:max val="1000000"/>
          <c:min val="1"/>
        </c:scaling>
        <c:delete val="0"/>
        <c:axPos val="b"/>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N"/>
                  <a:t>Frequency (Hz)</a:t>
                </a:r>
              </a:p>
            </c:rich>
          </c:tx>
          <c:layout>
            <c:manualLayout>
              <c:xMode val="edge"/>
              <c:yMode val="edge"/>
              <c:x val="0.4047627603379505"/>
              <c:y val="0.8771959881989727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60"/>
        <c:crossBetween val="midCat"/>
      </c:valAx>
      <c:valAx>
        <c:axId val="1"/>
        <c:scaling>
          <c:orientation val="minMax"/>
          <c:max val="80"/>
          <c:min val="-20"/>
        </c:scaling>
        <c:delete val="0"/>
        <c:axPos val="l"/>
        <c:majorGridlines>
          <c:spPr>
            <a:ln w="3175">
              <a:solidFill>
                <a:srgbClr val="000000"/>
              </a:solidFill>
              <a:prstDash val="solid"/>
            </a:ln>
          </c:spPr>
        </c:majorGridlines>
        <c:title>
          <c:tx>
            <c:rich>
              <a:bodyPr/>
              <a:lstStyle/>
              <a:p>
                <a:pPr>
                  <a:defRPr sz="800" b="1" i="0" u="none" strike="noStrike" baseline="0">
                    <a:solidFill>
                      <a:srgbClr val="000080"/>
                    </a:solidFill>
                    <a:latin typeface="Arial"/>
                    <a:ea typeface="Arial"/>
                    <a:cs typeface="Arial"/>
                  </a:defRPr>
                </a:pPr>
                <a:r>
                  <a:rPr lang="en-IN"/>
                  <a:t>Gain (dB)</a:t>
                </a:r>
              </a:p>
            </c:rich>
          </c:tx>
          <c:layout>
            <c:manualLayout>
              <c:xMode val="edge"/>
              <c:yMode val="edge"/>
              <c:x val="3.896112131595246E-2"/>
              <c:y val="0.4070189385243233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9432080"/>
        <c:crossesAt val="1"/>
        <c:crossBetween val="midCat"/>
        <c:majorUnit val="20"/>
      </c:valAx>
      <c:valAx>
        <c:axId val="3"/>
        <c:scaling>
          <c:logBase val="10"/>
          <c:orientation val="minMax"/>
        </c:scaling>
        <c:delete val="1"/>
        <c:axPos val="t"/>
        <c:numFmt formatCode="0.00E+00" sourceLinked="1"/>
        <c:majorTickMark val="out"/>
        <c:minorTickMark val="none"/>
        <c:tickLblPos val="nextTo"/>
        <c:crossAx val="4"/>
        <c:crossesAt val="30"/>
        <c:crossBetween val="midCat"/>
      </c:valAx>
      <c:valAx>
        <c:axId val="4"/>
        <c:scaling>
          <c:orientation val="minMax"/>
          <c:max val="180"/>
          <c:min val="30"/>
        </c:scaling>
        <c:delete val="0"/>
        <c:axPos val="r"/>
        <c:title>
          <c:tx>
            <c:rich>
              <a:bodyPr/>
              <a:lstStyle/>
              <a:p>
                <a:pPr>
                  <a:defRPr sz="800" b="1" i="0" u="none" strike="noStrike" baseline="0">
                    <a:solidFill>
                      <a:srgbClr val="FF00FF"/>
                    </a:solidFill>
                    <a:latin typeface="Arial"/>
                    <a:ea typeface="Arial"/>
                    <a:cs typeface="Arial"/>
                  </a:defRPr>
                </a:pPr>
                <a:r>
                  <a:rPr lang="en-IN"/>
                  <a:t>Phase (deg)</a:t>
                </a:r>
              </a:p>
            </c:rich>
          </c:tx>
          <c:layout>
            <c:manualLayout>
              <c:xMode val="edge"/>
              <c:yMode val="edge"/>
              <c:x val="0.91775085766465792"/>
              <c:y val="0.3754398829491603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
        <c:crosses val="max"/>
        <c:crossBetween val="midCat"/>
        <c:majorUnit val="3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N"/>
              <a:t>Overall Voltage Loop Gain/Phase </a:t>
            </a:r>
          </a:p>
        </c:rich>
      </c:tx>
      <c:layout>
        <c:manualLayout>
          <c:xMode val="edge"/>
          <c:yMode val="edge"/>
          <c:x val="0.29347857239148734"/>
          <c:y val="3.873239436619718E-2"/>
        </c:manualLayout>
      </c:layout>
      <c:overlay val="0"/>
      <c:spPr>
        <a:noFill/>
        <a:ln w="25400">
          <a:noFill/>
        </a:ln>
      </c:spPr>
    </c:title>
    <c:autoTitleDeleted val="0"/>
    <c:plotArea>
      <c:layout>
        <c:manualLayout>
          <c:layoutTarget val="inner"/>
          <c:xMode val="edge"/>
          <c:yMode val="edge"/>
          <c:x val="0.14565232852021964"/>
          <c:y val="0.19014084507042253"/>
          <c:w val="0.71304423514376181"/>
          <c:h val="0.59154929577464788"/>
        </c:manualLayout>
      </c:layout>
      <c:scatterChart>
        <c:scatterStyle val="smoothMarker"/>
        <c:varyColors val="0"/>
        <c:ser>
          <c:idx val="0"/>
          <c:order val="0"/>
          <c:tx>
            <c:v>Gain</c:v>
          </c:tx>
          <c:spPr>
            <a:ln w="25400">
              <a:solidFill>
                <a:srgbClr val="000080"/>
              </a:solidFill>
              <a:prstDash val="solid"/>
            </a:ln>
          </c:spPr>
          <c:marker>
            <c:symbol val="none"/>
          </c:marker>
          <c:xVal>
            <c:numRef>
              <c:f>'Frequency Compensation Graphs'!$A$2:$A$23</c:f>
              <c:numCache>
                <c:formatCode>0.00E+00</c:formatCode>
                <c:ptCount val="22"/>
                <c:pt idx="0">
                  <c:v>1.4999999999999999E-2</c:v>
                </c:pt>
                <c:pt idx="1">
                  <c:v>3.7499999999999999E-2</c:v>
                </c:pt>
                <c:pt idx="2">
                  <c:v>7.4999999999999997E-2</c:v>
                </c:pt>
                <c:pt idx="3">
                  <c:v>0.15</c:v>
                </c:pt>
                <c:pt idx="4">
                  <c:v>0.375</c:v>
                </c:pt>
                <c:pt idx="5">
                  <c:v>0.75</c:v>
                </c:pt>
                <c:pt idx="6">
                  <c:v>1.5</c:v>
                </c:pt>
                <c:pt idx="7">
                  <c:v>3.75</c:v>
                </c:pt>
                <c:pt idx="8">
                  <c:v>7.5</c:v>
                </c:pt>
                <c:pt idx="9">
                  <c:v>15</c:v>
                </c:pt>
                <c:pt idx="10">
                  <c:v>37.5</c:v>
                </c:pt>
                <c:pt idx="11">
                  <c:v>75</c:v>
                </c:pt>
                <c:pt idx="12">
                  <c:v>150</c:v>
                </c:pt>
                <c:pt idx="13">
                  <c:v>375</c:v>
                </c:pt>
                <c:pt idx="14">
                  <c:v>750</c:v>
                </c:pt>
                <c:pt idx="15">
                  <c:v>1500</c:v>
                </c:pt>
                <c:pt idx="16">
                  <c:v>3750</c:v>
                </c:pt>
                <c:pt idx="17">
                  <c:v>7500</c:v>
                </c:pt>
                <c:pt idx="18">
                  <c:v>15000</c:v>
                </c:pt>
                <c:pt idx="19">
                  <c:v>37500</c:v>
                </c:pt>
                <c:pt idx="20">
                  <c:v>75001</c:v>
                </c:pt>
                <c:pt idx="21">
                  <c:v>150000</c:v>
                </c:pt>
              </c:numCache>
            </c:numRef>
          </c:xVal>
          <c:yVal>
            <c:numRef>
              <c:f>'Frequency Compensation Graphs'!$K$2:$K$23</c:f>
              <c:numCache>
                <c:formatCode>0.0</c:formatCode>
                <c:ptCount val="22"/>
                <c:pt idx="0">
                  <c:v>82.175690356457508</c:v>
                </c:pt>
                <c:pt idx="1">
                  <c:v>82.175565742823466</c:v>
                </c:pt>
                <c:pt idx="2">
                  <c:v>82.17512072330959</c:v>
                </c:pt>
                <c:pt idx="3">
                  <c:v>82.173341101014046</c:v>
                </c:pt>
                <c:pt idx="4">
                  <c:v>82.160904117081941</c:v>
                </c:pt>
                <c:pt idx="5">
                  <c:v>82.116774751105126</c:v>
                </c:pt>
                <c:pt idx="6">
                  <c:v>81.944608120866789</c:v>
                </c:pt>
                <c:pt idx="7">
                  <c:v>80.89945686161839</c:v>
                </c:pt>
                <c:pt idx="8">
                  <c:v>78.434463649486389</c:v>
                </c:pt>
                <c:pt idx="9">
                  <c:v>74.06728123252671</c:v>
                </c:pt>
                <c:pt idx="10">
                  <c:v>66.69804566565432</c:v>
                </c:pt>
                <c:pt idx="11">
                  <c:v>60.718321690175244</c:v>
                </c:pt>
                <c:pt idx="12">
                  <c:v>54.517392671689635</c:v>
                </c:pt>
                <c:pt idx="13">
                  <c:v>45.383790288751221</c:v>
                </c:pt>
                <c:pt idx="14">
                  <c:v>36.893897992616225</c:v>
                </c:pt>
                <c:pt idx="15">
                  <c:v>27.405195590983965</c:v>
                </c:pt>
                <c:pt idx="16">
                  <c:v>16.168377153055346</c:v>
                </c:pt>
                <c:pt idx="17">
                  <c:v>9.090010707901639</c:v>
                </c:pt>
                <c:pt idx="18">
                  <c:v>2.0607819680397181</c:v>
                </c:pt>
                <c:pt idx="19">
                  <c:v>-9.7688270418237799</c:v>
                </c:pt>
                <c:pt idx="20">
                  <c:v>-22.55763415877259</c:v>
                </c:pt>
                <c:pt idx="21">
                  <c:v>-38.528849523807658</c:v>
                </c:pt>
              </c:numCache>
            </c:numRef>
          </c:yVal>
          <c:smooth val="1"/>
          <c:extLst>
            <c:ext xmlns:c16="http://schemas.microsoft.com/office/drawing/2014/chart" uri="{C3380CC4-5D6E-409C-BE32-E72D297353CC}">
              <c16:uniqueId val="{00000000-A812-4C40-90B6-18D74AFAED52}"/>
            </c:ext>
          </c:extLst>
        </c:ser>
        <c:dLbls>
          <c:showLegendKey val="0"/>
          <c:showVal val="0"/>
          <c:showCatName val="0"/>
          <c:showSerName val="0"/>
          <c:showPercent val="0"/>
          <c:showBubbleSize val="0"/>
        </c:dLbls>
        <c:axId val="1319431424"/>
        <c:axId val="1"/>
      </c:scatterChart>
      <c:scatterChart>
        <c:scatterStyle val="lineMarker"/>
        <c:varyColors val="0"/>
        <c:ser>
          <c:idx val="1"/>
          <c:order val="1"/>
          <c:tx>
            <c:v>Phase</c:v>
          </c:tx>
          <c:spPr>
            <a:ln w="25400">
              <a:solidFill>
                <a:srgbClr val="FF00FF"/>
              </a:solidFill>
              <a:prstDash val="solid"/>
            </a:ln>
          </c:spPr>
          <c:marker>
            <c:symbol val="none"/>
          </c:marker>
          <c:xVal>
            <c:numRef>
              <c:f>'Frequency Compensation Graphs'!$A$2:$A$23</c:f>
              <c:numCache>
                <c:formatCode>0.00E+00</c:formatCode>
                <c:ptCount val="22"/>
                <c:pt idx="0">
                  <c:v>1.4999999999999999E-2</c:v>
                </c:pt>
                <c:pt idx="1">
                  <c:v>3.7499999999999999E-2</c:v>
                </c:pt>
                <c:pt idx="2">
                  <c:v>7.4999999999999997E-2</c:v>
                </c:pt>
                <c:pt idx="3">
                  <c:v>0.15</c:v>
                </c:pt>
                <c:pt idx="4">
                  <c:v>0.375</c:v>
                </c:pt>
                <c:pt idx="5">
                  <c:v>0.75</c:v>
                </c:pt>
                <c:pt idx="6">
                  <c:v>1.5</c:v>
                </c:pt>
                <c:pt idx="7">
                  <c:v>3.75</c:v>
                </c:pt>
                <c:pt idx="8">
                  <c:v>7.5</c:v>
                </c:pt>
                <c:pt idx="9">
                  <c:v>15</c:v>
                </c:pt>
                <c:pt idx="10">
                  <c:v>37.5</c:v>
                </c:pt>
                <c:pt idx="11">
                  <c:v>75</c:v>
                </c:pt>
                <c:pt idx="12">
                  <c:v>150</c:v>
                </c:pt>
                <c:pt idx="13">
                  <c:v>375</c:v>
                </c:pt>
                <c:pt idx="14">
                  <c:v>750</c:v>
                </c:pt>
                <c:pt idx="15">
                  <c:v>1500</c:v>
                </c:pt>
                <c:pt idx="16">
                  <c:v>3750</c:v>
                </c:pt>
                <c:pt idx="17">
                  <c:v>7500</c:v>
                </c:pt>
                <c:pt idx="18">
                  <c:v>15000</c:v>
                </c:pt>
                <c:pt idx="19">
                  <c:v>37500</c:v>
                </c:pt>
                <c:pt idx="20">
                  <c:v>75001</c:v>
                </c:pt>
                <c:pt idx="21">
                  <c:v>150000</c:v>
                </c:pt>
              </c:numCache>
            </c:numRef>
          </c:xVal>
          <c:yVal>
            <c:numRef>
              <c:f>'Frequency Compensation Graphs'!$L$2:$L$23</c:f>
              <c:numCache>
                <c:formatCode>0.0</c:formatCode>
                <c:ptCount val="22"/>
                <c:pt idx="0">
                  <c:v>179.86489290400775</c:v>
                </c:pt>
                <c:pt idx="1">
                  <c:v>179.6622354622946</c:v>
                </c:pt>
                <c:pt idx="2">
                  <c:v>179.32449379618365</c:v>
                </c:pt>
                <c:pt idx="3">
                  <c:v>178.64917050889989</c:v>
                </c:pt>
                <c:pt idx="4">
                  <c:v>176.62612102983894</c:v>
                </c:pt>
                <c:pt idx="5">
                  <c:v>173.27488399394943</c:v>
                </c:pt>
                <c:pt idx="6">
                  <c:v>166.72555408960534</c:v>
                </c:pt>
                <c:pt idx="7">
                  <c:v>149.40518227137957</c:v>
                </c:pt>
                <c:pt idx="8">
                  <c:v>129.96495508340439</c:v>
                </c:pt>
                <c:pt idx="9">
                  <c:v>111.9932975243464</c:v>
                </c:pt>
                <c:pt idx="10">
                  <c:v>96.798037133265197</c:v>
                </c:pt>
                <c:pt idx="11">
                  <c:v>89.098865219117229</c:v>
                </c:pt>
                <c:pt idx="12">
                  <c:v>81.115762470054122</c:v>
                </c:pt>
                <c:pt idx="13">
                  <c:v>66.147335546346341</c:v>
                </c:pt>
                <c:pt idx="14">
                  <c:v>54.388433875088218</c:v>
                </c:pt>
                <c:pt idx="15">
                  <c:v>51.262208913982874</c:v>
                </c:pt>
                <c:pt idx="16">
                  <c:v>58.440181262783184</c:v>
                </c:pt>
                <c:pt idx="17">
                  <c:v>58.510413097783911</c:v>
                </c:pt>
                <c:pt idx="18">
                  <c:v>46.147904840427969</c:v>
                </c:pt>
                <c:pt idx="19">
                  <c:v>8.115524552563528</c:v>
                </c:pt>
                <c:pt idx="20">
                  <c:v>-28.312220686206757</c:v>
                </c:pt>
                <c:pt idx="21">
                  <c:v>-57.801471065867659</c:v>
                </c:pt>
              </c:numCache>
            </c:numRef>
          </c:yVal>
          <c:smooth val="1"/>
          <c:extLst>
            <c:ext xmlns:c16="http://schemas.microsoft.com/office/drawing/2014/chart" uri="{C3380CC4-5D6E-409C-BE32-E72D297353CC}">
              <c16:uniqueId val="{00000001-A812-4C40-90B6-18D74AFAED52}"/>
            </c:ext>
          </c:extLst>
        </c:ser>
        <c:dLbls>
          <c:showLegendKey val="0"/>
          <c:showVal val="0"/>
          <c:showCatName val="0"/>
          <c:showSerName val="0"/>
          <c:showPercent val="0"/>
          <c:showBubbleSize val="0"/>
        </c:dLbls>
        <c:axId val="3"/>
        <c:axId val="4"/>
      </c:scatterChart>
      <c:valAx>
        <c:axId val="1319431424"/>
        <c:scaling>
          <c:logBase val="10"/>
          <c:orientation val="minMax"/>
          <c:max val="1000000"/>
          <c:min val="1"/>
        </c:scaling>
        <c:delete val="0"/>
        <c:axPos val="b"/>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N"/>
                  <a:t>Frequency (Hz)</a:t>
                </a:r>
              </a:p>
            </c:rich>
          </c:tx>
          <c:layout>
            <c:manualLayout>
              <c:xMode val="edge"/>
              <c:yMode val="edge"/>
              <c:x val="0.40869608599703422"/>
              <c:y val="0.8767605633802817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60"/>
        <c:crossBetween val="midCat"/>
      </c:valAx>
      <c:valAx>
        <c:axId val="1"/>
        <c:scaling>
          <c:orientation val="minMax"/>
          <c:max val="100"/>
          <c:min val="-60"/>
        </c:scaling>
        <c:delete val="0"/>
        <c:axPos val="l"/>
        <c:majorGridlines>
          <c:spPr>
            <a:ln w="3175">
              <a:solidFill>
                <a:srgbClr val="000000"/>
              </a:solidFill>
              <a:prstDash val="solid"/>
            </a:ln>
          </c:spPr>
        </c:majorGridlines>
        <c:title>
          <c:tx>
            <c:rich>
              <a:bodyPr/>
              <a:lstStyle/>
              <a:p>
                <a:pPr>
                  <a:defRPr sz="800" b="1" i="0" u="none" strike="noStrike" baseline="0">
                    <a:solidFill>
                      <a:srgbClr val="000080"/>
                    </a:solidFill>
                    <a:latin typeface="Arial"/>
                    <a:ea typeface="Arial"/>
                    <a:cs typeface="Arial"/>
                  </a:defRPr>
                </a:pPr>
                <a:r>
                  <a:rPr lang="en-IN"/>
                  <a:t>Gain (dB)</a:t>
                </a:r>
              </a:p>
            </c:rich>
          </c:tx>
          <c:layout>
            <c:manualLayout>
              <c:xMode val="edge"/>
              <c:yMode val="edge"/>
              <c:x val="3.913047631886498E-2"/>
              <c:y val="0.394366197183098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9431424"/>
        <c:crossesAt val="1"/>
        <c:crossBetween val="midCat"/>
        <c:majorUnit val="20"/>
      </c:valAx>
      <c:valAx>
        <c:axId val="3"/>
        <c:scaling>
          <c:logBase val="10"/>
          <c:orientation val="minMax"/>
        </c:scaling>
        <c:delete val="1"/>
        <c:axPos val="t"/>
        <c:numFmt formatCode="0.00E+00" sourceLinked="1"/>
        <c:majorTickMark val="out"/>
        <c:minorTickMark val="none"/>
        <c:tickLblPos val="nextTo"/>
        <c:crossAx val="4"/>
        <c:crossesAt val="0"/>
        <c:crossBetween val="midCat"/>
      </c:valAx>
      <c:valAx>
        <c:axId val="4"/>
        <c:scaling>
          <c:orientation val="minMax"/>
          <c:max val="150"/>
          <c:min val="-90"/>
        </c:scaling>
        <c:delete val="0"/>
        <c:axPos val="r"/>
        <c:title>
          <c:tx>
            <c:rich>
              <a:bodyPr/>
              <a:lstStyle/>
              <a:p>
                <a:pPr>
                  <a:defRPr sz="800" b="1" i="0" u="none" strike="noStrike" baseline="0">
                    <a:solidFill>
                      <a:srgbClr val="FF00FF"/>
                    </a:solidFill>
                    <a:latin typeface="Arial"/>
                    <a:ea typeface="Arial"/>
                    <a:cs typeface="Arial"/>
                  </a:defRPr>
                </a:pPr>
                <a:r>
                  <a:rPr lang="en-IN"/>
                  <a:t>Phase (deg)</a:t>
                </a:r>
              </a:p>
            </c:rich>
          </c:tx>
          <c:layout>
            <c:manualLayout>
              <c:xMode val="edge"/>
              <c:yMode val="edge"/>
              <c:x val="0.91956619349332702"/>
              <c:y val="0.3626760563380281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
        <c:crosses val="max"/>
        <c:crossBetween val="midCat"/>
        <c:majorUnit val="3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N"/>
              <a:t>Modulator Gain/Phase
COMP to VOUT </a:t>
            </a:r>
          </a:p>
        </c:rich>
      </c:tx>
      <c:layout>
        <c:manualLayout>
          <c:xMode val="edge"/>
          <c:yMode val="edge"/>
          <c:x val="0.36580163902199808"/>
          <c:y val="3.8596623480754801E-2"/>
        </c:manualLayout>
      </c:layout>
      <c:overlay val="0"/>
      <c:spPr>
        <a:noFill/>
        <a:ln w="25400">
          <a:noFill/>
        </a:ln>
      </c:spPr>
    </c:title>
    <c:autoTitleDeleted val="0"/>
    <c:plotArea>
      <c:layout>
        <c:manualLayout>
          <c:layoutTarget val="inner"/>
          <c:xMode val="edge"/>
          <c:yMode val="edge"/>
          <c:x val="0.14069293808538388"/>
          <c:y val="0.20701825321495756"/>
          <c:w val="0.70995821064624476"/>
          <c:h val="0.57894935221132204"/>
        </c:manualLayout>
      </c:layout>
      <c:scatterChart>
        <c:scatterStyle val="smoothMarker"/>
        <c:varyColors val="0"/>
        <c:ser>
          <c:idx val="0"/>
          <c:order val="0"/>
          <c:tx>
            <c:v>Gain</c:v>
          </c:tx>
          <c:spPr>
            <a:ln w="25400">
              <a:solidFill>
                <a:srgbClr val="000080"/>
              </a:solidFill>
              <a:prstDash val="solid"/>
            </a:ln>
          </c:spPr>
          <c:marker>
            <c:symbol val="none"/>
          </c:marker>
          <c:xVal>
            <c:numRef>
              <c:f>'Frequency Compensation Graphs'!$A$2:$A$23</c:f>
              <c:numCache>
                <c:formatCode>0.00E+00</c:formatCode>
                <c:ptCount val="22"/>
                <c:pt idx="0">
                  <c:v>1.4999999999999999E-2</c:v>
                </c:pt>
                <c:pt idx="1">
                  <c:v>3.7499999999999999E-2</c:v>
                </c:pt>
                <c:pt idx="2">
                  <c:v>7.4999999999999997E-2</c:v>
                </c:pt>
                <c:pt idx="3">
                  <c:v>0.15</c:v>
                </c:pt>
                <c:pt idx="4">
                  <c:v>0.375</c:v>
                </c:pt>
                <c:pt idx="5">
                  <c:v>0.75</c:v>
                </c:pt>
                <c:pt idx="6">
                  <c:v>1.5</c:v>
                </c:pt>
                <c:pt idx="7">
                  <c:v>3.75</c:v>
                </c:pt>
                <c:pt idx="8">
                  <c:v>7.5</c:v>
                </c:pt>
                <c:pt idx="9">
                  <c:v>15</c:v>
                </c:pt>
                <c:pt idx="10">
                  <c:v>37.5</c:v>
                </c:pt>
                <c:pt idx="11">
                  <c:v>75</c:v>
                </c:pt>
                <c:pt idx="12">
                  <c:v>150</c:v>
                </c:pt>
                <c:pt idx="13">
                  <c:v>375</c:v>
                </c:pt>
                <c:pt idx="14">
                  <c:v>750</c:v>
                </c:pt>
                <c:pt idx="15">
                  <c:v>1500</c:v>
                </c:pt>
                <c:pt idx="16">
                  <c:v>3750</c:v>
                </c:pt>
                <c:pt idx="17">
                  <c:v>7500</c:v>
                </c:pt>
                <c:pt idx="18">
                  <c:v>15000</c:v>
                </c:pt>
                <c:pt idx="19">
                  <c:v>37500</c:v>
                </c:pt>
                <c:pt idx="20">
                  <c:v>75001</c:v>
                </c:pt>
                <c:pt idx="21">
                  <c:v>150000</c:v>
                </c:pt>
              </c:numCache>
            </c:numRef>
          </c:xVal>
          <c:yVal>
            <c:numRef>
              <c:f>'Frequency Compensation Graphs'!$C$2:$C$23</c:f>
              <c:numCache>
                <c:formatCode>0.0</c:formatCode>
                <c:ptCount val="22"/>
                <c:pt idx="0">
                  <c:v>23.651438372962058</c:v>
                </c:pt>
                <c:pt idx="1">
                  <c:v>23.651438356952653</c:v>
                </c:pt>
                <c:pt idx="2">
                  <c:v>23.651438299776206</c:v>
                </c:pt>
                <c:pt idx="3">
                  <c:v>23.651438071070427</c:v>
                </c:pt>
                <c:pt idx="4">
                  <c:v>23.651436470130299</c:v>
                </c:pt>
                <c:pt idx="5">
                  <c:v>23.651430752491823</c:v>
                </c:pt>
                <c:pt idx="6">
                  <c:v>23.651407882013121</c:v>
                </c:pt>
                <c:pt idx="7">
                  <c:v>23.651247792032418</c:v>
                </c:pt>
                <c:pt idx="8">
                  <c:v>23.65067609024161</c:v>
                </c:pt>
                <c:pt idx="9">
                  <c:v>23.648390034922045</c:v>
                </c:pt>
                <c:pt idx="10">
                  <c:v>23.632421233078176</c:v>
                </c:pt>
                <c:pt idx="11">
                  <c:v>23.575864106766669</c:v>
                </c:pt>
                <c:pt idx="12">
                  <c:v>23.356721042898229</c:v>
                </c:pt>
                <c:pt idx="13">
                  <c:v>22.071125739372846</c:v>
                </c:pt>
                <c:pt idx="14">
                  <c:v>19.248190720514089</c:v>
                </c:pt>
                <c:pt idx="15">
                  <c:v>14.601015425909733</c:v>
                </c:pt>
                <c:pt idx="16">
                  <c:v>7.0759434618583779</c:v>
                </c:pt>
                <c:pt idx="17">
                  <c:v>0.9653412112651395</c:v>
                </c:pt>
                <c:pt idx="18">
                  <c:v>-5.6350030314350565</c:v>
                </c:pt>
                <c:pt idx="19">
                  <c:v>-16.391627156728877</c:v>
                </c:pt>
                <c:pt idx="20">
                  <c:v>-26.784612574809042</c:v>
                </c:pt>
                <c:pt idx="21">
                  <c:v>-38.454735408722009</c:v>
                </c:pt>
              </c:numCache>
            </c:numRef>
          </c:yVal>
          <c:smooth val="1"/>
          <c:extLst>
            <c:ext xmlns:c16="http://schemas.microsoft.com/office/drawing/2014/chart" uri="{C3380CC4-5D6E-409C-BE32-E72D297353CC}">
              <c16:uniqueId val="{00000000-7A2D-400D-BDA4-CCA7A19784E7}"/>
            </c:ext>
          </c:extLst>
        </c:ser>
        <c:dLbls>
          <c:showLegendKey val="0"/>
          <c:showVal val="0"/>
          <c:showCatName val="0"/>
          <c:showSerName val="0"/>
          <c:showPercent val="0"/>
          <c:showBubbleSize val="0"/>
        </c:dLbls>
        <c:axId val="1319430768"/>
        <c:axId val="1"/>
      </c:scatterChart>
      <c:scatterChart>
        <c:scatterStyle val="lineMarker"/>
        <c:varyColors val="0"/>
        <c:ser>
          <c:idx val="1"/>
          <c:order val="1"/>
          <c:tx>
            <c:v>Phase</c:v>
          </c:tx>
          <c:spPr>
            <a:ln w="25400">
              <a:solidFill>
                <a:srgbClr val="FF00FF"/>
              </a:solidFill>
              <a:prstDash val="solid"/>
            </a:ln>
          </c:spPr>
          <c:marker>
            <c:symbol val="none"/>
          </c:marker>
          <c:xVal>
            <c:numRef>
              <c:f>'Frequency Compensation Graphs'!$A$2:$A$23</c:f>
              <c:numCache>
                <c:formatCode>0.00E+00</c:formatCode>
                <c:ptCount val="22"/>
                <c:pt idx="0">
                  <c:v>1.4999999999999999E-2</c:v>
                </c:pt>
                <c:pt idx="1">
                  <c:v>3.7499999999999999E-2</c:v>
                </c:pt>
                <c:pt idx="2">
                  <c:v>7.4999999999999997E-2</c:v>
                </c:pt>
                <c:pt idx="3">
                  <c:v>0.15</c:v>
                </c:pt>
                <c:pt idx="4">
                  <c:v>0.375</c:v>
                </c:pt>
                <c:pt idx="5">
                  <c:v>0.75</c:v>
                </c:pt>
                <c:pt idx="6">
                  <c:v>1.5</c:v>
                </c:pt>
                <c:pt idx="7">
                  <c:v>3.75</c:v>
                </c:pt>
                <c:pt idx="8">
                  <c:v>7.5</c:v>
                </c:pt>
                <c:pt idx="9">
                  <c:v>15</c:v>
                </c:pt>
                <c:pt idx="10">
                  <c:v>37.5</c:v>
                </c:pt>
                <c:pt idx="11">
                  <c:v>75</c:v>
                </c:pt>
                <c:pt idx="12">
                  <c:v>150</c:v>
                </c:pt>
                <c:pt idx="13">
                  <c:v>375</c:v>
                </c:pt>
                <c:pt idx="14">
                  <c:v>750</c:v>
                </c:pt>
                <c:pt idx="15">
                  <c:v>1500</c:v>
                </c:pt>
                <c:pt idx="16">
                  <c:v>3750</c:v>
                </c:pt>
                <c:pt idx="17">
                  <c:v>7500</c:v>
                </c:pt>
                <c:pt idx="18">
                  <c:v>15000</c:v>
                </c:pt>
                <c:pt idx="19">
                  <c:v>37500</c:v>
                </c:pt>
                <c:pt idx="20">
                  <c:v>75001</c:v>
                </c:pt>
                <c:pt idx="21">
                  <c:v>150000</c:v>
                </c:pt>
              </c:numCache>
            </c:numRef>
          </c:xVal>
          <c:yVal>
            <c:numRef>
              <c:f>'Frequency Compensation Graphs'!$D$2:$D$23</c:f>
              <c:numCache>
                <c:formatCode>0.0</c:formatCode>
                <c:ptCount val="22"/>
                <c:pt idx="0">
                  <c:v>-1.5443989486419846E-3</c:v>
                </c:pt>
                <c:pt idx="1">
                  <c:v>-3.8609973669431114E-3</c:v>
                </c:pt>
                <c:pt idx="2">
                  <c:v>-7.7219947005872907E-3</c:v>
                </c:pt>
                <c:pt idx="3">
                  <c:v>-1.5443989134783129E-2</c:v>
                </c:pt>
                <c:pt idx="4">
                  <c:v>-3.8609968175108637E-2</c:v>
                </c:pt>
                <c:pt idx="5">
                  <c:v>-7.7219903051328073E-2</c:v>
                </c:pt>
                <c:pt idx="6">
                  <c:v>-0.15443953971259453</c:v>
                </c:pt>
                <c:pt idx="7">
                  <c:v>-0.38609418757320835</c:v>
                </c:pt>
                <c:pt idx="8">
                  <c:v>-0.77215508059544713</c:v>
                </c:pt>
                <c:pt idx="9">
                  <c:v>-1.5440439098966587</c:v>
                </c:pt>
                <c:pt idx="10">
                  <c:v>-3.8554621134100113</c:v>
                </c:pt>
                <c:pt idx="11">
                  <c:v>-7.6780578654241323</c:v>
                </c:pt>
                <c:pt idx="12">
                  <c:v>-15.10304887239683</c:v>
                </c:pt>
                <c:pt idx="13">
                  <c:v>-34.178471827396656</c:v>
                </c:pt>
                <c:pt idx="14">
                  <c:v>-54.270813894993232</c:v>
                </c:pt>
                <c:pt idx="15">
                  <c:v>-71.958650568898406</c:v>
                </c:pt>
                <c:pt idx="16">
                  <c:v>-87.984284023487746</c:v>
                </c:pt>
                <c:pt idx="17">
                  <c:v>-98.66152909855002</c:v>
                </c:pt>
                <c:pt idx="18">
                  <c:v>-112.63652997150839</c:v>
                </c:pt>
                <c:pt idx="19">
                  <c:v>-138.69912681817959</c:v>
                </c:pt>
                <c:pt idx="20">
                  <c:v>-157.50678521651048</c:v>
                </c:pt>
                <c:pt idx="21">
                  <c:v>-169.73891679407245</c:v>
                </c:pt>
              </c:numCache>
            </c:numRef>
          </c:yVal>
          <c:smooth val="1"/>
          <c:extLst>
            <c:ext xmlns:c16="http://schemas.microsoft.com/office/drawing/2014/chart" uri="{C3380CC4-5D6E-409C-BE32-E72D297353CC}">
              <c16:uniqueId val="{00000001-7A2D-400D-BDA4-CCA7A19784E7}"/>
            </c:ext>
          </c:extLst>
        </c:ser>
        <c:dLbls>
          <c:showLegendKey val="0"/>
          <c:showVal val="0"/>
          <c:showCatName val="0"/>
          <c:showSerName val="0"/>
          <c:showPercent val="0"/>
          <c:showBubbleSize val="0"/>
        </c:dLbls>
        <c:axId val="3"/>
        <c:axId val="4"/>
      </c:scatterChart>
      <c:valAx>
        <c:axId val="1319430768"/>
        <c:scaling>
          <c:logBase val="10"/>
          <c:orientation val="minMax"/>
          <c:max val="1000000"/>
          <c:min val="1"/>
        </c:scaling>
        <c:delete val="0"/>
        <c:axPos val="b"/>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N"/>
                  <a:t>Frequency (Hz)</a:t>
                </a:r>
              </a:p>
            </c:rich>
          </c:tx>
          <c:layout>
            <c:manualLayout>
              <c:xMode val="edge"/>
              <c:yMode val="edge"/>
              <c:x val="0.40259825359817542"/>
              <c:y val="0.880704772151768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60"/>
        <c:crossBetween val="midCat"/>
      </c:valAx>
      <c:valAx>
        <c:axId val="1"/>
        <c:scaling>
          <c:orientation val="minMax"/>
          <c:max val="40"/>
          <c:min val="-60"/>
        </c:scaling>
        <c:delete val="0"/>
        <c:axPos val="l"/>
        <c:majorGridlines>
          <c:spPr>
            <a:ln w="3175">
              <a:solidFill>
                <a:srgbClr val="000000"/>
              </a:solidFill>
              <a:prstDash val="solid"/>
            </a:ln>
          </c:spPr>
        </c:majorGridlines>
        <c:title>
          <c:tx>
            <c:rich>
              <a:bodyPr/>
              <a:lstStyle/>
              <a:p>
                <a:pPr>
                  <a:defRPr sz="800" b="1" i="0" u="none" strike="noStrike" baseline="0">
                    <a:solidFill>
                      <a:srgbClr val="000080"/>
                    </a:solidFill>
                    <a:latin typeface="Arial"/>
                    <a:ea typeface="Arial"/>
                    <a:cs typeface="Arial"/>
                  </a:defRPr>
                </a:pPr>
                <a:r>
                  <a:rPr lang="en-IN"/>
                  <a:t>Gain (dB)</a:t>
                </a:r>
              </a:p>
            </c:rich>
          </c:tx>
          <c:layout>
            <c:manualLayout>
              <c:xMode val="edge"/>
              <c:yMode val="edge"/>
              <c:x val="3.896112131595246E-2"/>
              <c:y val="0.4035101545715274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9430768"/>
        <c:crossesAt val="1"/>
        <c:crossBetween val="midCat"/>
        <c:majorUnit val="20"/>
      </c:valAx>
      <c:valAx>
        <c:axId val="3"/>
        <c:scaling>
          <c:logBase val="10"/>
          <c:orientation val="minMax"/>
        </c:scaling>
        <c:delete val="1"/>
        <c:axPos val="t"/>
        <c:numFmt formatCode="0.00E+00" sourceLinked="1"/>
        <c:majorTickMark val="out"/>
        <c:minorTickMark val="none"/>
        <c:tickLblPos val="nextTo"/>
        <c:crossAx val="4"/>
        <c:crossesAt val="0"/>
        <c:crossBetween val="midCat"/>
      </c:valAx>
      <c:valAx>
        <c:axId val="4"/>
        <c:scaling>
          <c:orientation val="minMax"/>
          <c:max val="0"/>
          <c:min val="-150"/>
        </c:scaling>
        <c:delete val="0"/>
        <c:axPos val="r"/>
        <c:title>
          <c:tx>
            <c:rich>
              <a:bodyPr/>
              <a:lstStyle/>
              <a:p>
                <a:pPr>
                  <a:defRPr sz="800" b="1" i="0" u="none" strike="noStrike" baseline="0">
                    <a:solidFill>
                      <a:srgbClr val="FF00FF"/>
                    </a:solidFill>
                    <a:latin typeface="Arial"/>
                    <a:ea typeface="Arial"/>
                    <a:cs typeface="Arial"/>
                  </a:defRPr>
                </a:pPr>
                <a:r>
                  <a:rPr lang="en-IN"/>
                  <a:t>Phase (deg)</a:t>
                </a:r>
              </a:p>
            </c:rich>
          </c:tx>
          <c:layout>
            <c:manualLayout>
              <c:xMode val="edge"/>
              <c:yMode val="edge"/>
              <c:x val="0.919915364404433"/>
              <c:y val="0.3719310989963644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
        <c:crosses val="max"/>
        <c:crossBetween val="midCat"/>
        <c:majorUnit val="3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38100</xdr:rowOff>
    </xdr:from>
    <xdr:to>
      <xdr:col>7</xdr:col>
      <xdr:colOff>95250</xdr:colOff>
      <xdr:row>2</xdr:row>
      <xdr:rowOff>457200</xdr:rowOff>
    </xdr:to>
    <xdr:sp macro="" textlink="">
      <xdr:nvSpPr>
        <xdr:cNvPr id="1040" name="Text Box 16">
          <a:extLst>
            <a:ext uri="{FF2B5EF4-FFF2-40B4-BE49-F238E27FC236}">
              <a16:creationId xmlns:a16="http://schemas.microsoft.com/office/drawing/2014/main" id="{00000000-0008-0000-0000-000010040000}"/>
            </a:ext>
          </a:extLst>
        </xdr:cNvPr>
        <xdr:cNvSpPr txBox="1">
          <a:spLocks noChangeArrowheads="1"/>
        </xdr:cNvSpPr>
      </xdr:nvSpPr>
      <xdr:spPr bwMode="auto">
        <a:xfrm>
          <a:off x="57150" y="438150"/>
          <a:ext cx="5762625"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22860" rIns="0" bIns="0" anchor="t" upright="1"/>
        <a:lstStyle/>
        <a:p>
          <a:pPr algn="l" rtl="0">
            <a:defRPr sz="1000"/>
          </a:pPr>
          <a:r>
            <a:rPr lang="en-IN" sz="1100" b="0" i="0" u="none" strike="noStrike" baseline="0">
              <a:solidFill>
                <a:srgbClr val="FF0000"/>
              </a:solidFill>
              <a:latin typeface="Arial"/>
              <a:cs typeface="Arial"/>
            </a:rPr>
            <a:t>Note:  The components calculated in this worksheet are reasonable starting values for a design using the LM(2)5116.  They are not optimized for any particular performance attribute.</a:t>
          </a:r>
        </a:p>
      </xdr:txBody>
    </xdr:sp>
    <xdr:clientData/>
  </xdr:twoCellAnchor>
  <mc:AlternateContent xmlns:mc="http://schemas.openxmlformats.org/markup-compatibility/2006">
    <mc:Choice xmlns:a14="http://schemas.microsoft.com/office/drawing/2010/main" Requires="a14">
      <xdr:twoCellAnchor editAs="oneCell">
        <xdr:from>
          <xdr:col>5</xdr:col>
          <xdr:colOff>381000</xdr:colOff>
          <xdr:row>34</xdr:row>
          <xdr:rowOff>123825</xdr:rowOff>
        </xdr:from>
        <xdr:to>
          <xdr:col>12</xdr:col>
          <xdr:colOff>447675</xdr:colOff>
          <xdr:row>62</xdr:row>
          <xdr:rowOff>133350</xdr:rowOff>
        </xdr:to>
        <xdr:sp macro="" textlink="">
          <xdr:nvSpPr>
            <xdr:cNvPr id="1228" name="Object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xdr:row>
          <xdr:rowOff>152400</xdr:rowOff>
        </xdr:from>
        <xdr:to>
          <xdr:col>12</xdr:col>
          <xdr:colOff>438150</xdr:colOff>
          <xdr:row>30</xdr:row>
          <xdr:rowOff>142875</xdr:rowOff>
        </xdr:to>
        <xdr:sp macro="" textlink="">
          <xdr:nvSpPr>
            <xdr:cNvPr id="1229" name="Object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73</xdr:row>
      <xdr:rowOff>38100</xdr:rowOff>
    </xdr:from>
    <xdr:to>
      <xdr:col>7</xdr:col>
      <xdr:colOff>28575</xdr:colOff>
      <xdr:row>76</xdr:row>
      <xdr:rowOff>142875</xdr:rowOff>
    </xdr:to>
    <xdr:sp macro="" textlink="">
      <xdr:nvSpPr>
        <xdr:cNvPr id="1276" name="Text Box 252">
          <a:extLst>
            <a:ext uri="{FF2B5EF4-FFF2-40B4-BE49-F238E27FC236}">
              <a16:creationId xmlns:a16="http://schemas.microsoft.com/office/drawing/2014/main" id="{00000000-0008-0000-0000-0000FC040000}"/>
            </a:ext>
          </a:extLst>
        </xdr:cNvPr>
        <xdr:cNvSpPr txBox="1">
          <a:spLocks noChangeArrowheads="1"/>
        </xdr:cNvSpPr>
      </xdr:nvSpPr>
      <xdr:spPr bwMode="auto">
        <a:xfrm>
          <a:off x="47625" y="12477750"/>
          <a:ext cx="5705475" cy="590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22860" rIns="0" bIns="0" anchor="t" upright="1"/>
        <a:lstStyle/>
        <a:p>
          <a:pPr algn="l" rtl="0">
            <a:defRPr sz="1000"/>
          </a:pPr>
          <a:r>
            <a:rPr lang="en-IN" sz="1100" b="0" i="0" u="none" strike="noStrike" baseline="0">
              <a:solidFill>
                <a:srgbClr val="FF0000"/>
              </a:solidFill>
              <a:latin typeface="Arial"/>
              <a:cs typeface="Arial"/>
            </a:rPr>
            <a:t>Note:  Do not over-write equations in cells, as this may result in calculation errors.</a:t>
          </a:r>
        </a:p>
        <a:p>
          <a:pPr algn="l" rtl="0">
            <a:defRPr sz="1000"/>
          </a:pPr>
          <a:r>
            <a:rPr lang="en-IN" sz="1100" b="0" i="0" u="none" strike="noStrike" baseline="0">
              <a:solidFill>
                <a:srgbClr val="FF0000"/>
              </a:solidFill>
              <a:latin typeface="Arial"/>
              <a:cs typeface="Arial"/>
            </a:rPr>
            <a:t>Exact values for Rs and L may be achieved by iterating values for Ripple Current % in Step 1 and Current Limit Target in Step 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333375</xdr:colOff>
      <xdr:row>9</xdr:row>
      <xdr:rowOff>47625</xdr:rowOff>
    </xdr:from>
    <xdr:to>
      <xdr:col>9</xdr:col>
      <xdr:colOff>561975</xdr:colOff>
      <xdr:row>32</xdr:row>
      <xdr:rowOff>95250</xdr:rowOff>
    </xdr:to>
    <xdr:graphicFrame macro="">
      <xdr:nvGraphicFramePr>
        <xdr:cNvPr id="8198" name="Chart 6">
          <a:extLst>
            <a:ext uri="{FF2B5EF4-FFF2-40B4-BE49-F238E27FC236}">
              <a16:creationId xmlns:a16="http://schemas.microsoft.com/office/drawing/2014/main" id="{00000000-0008-0000-0100-000006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152400</xdr:colOff>
      <xdr:row>9</xdr:row>
      <xdr:rowOff>133350</xdr:rowOff>
    </xdr:from>
    <xdr:to>
      <xdr:col>13</xdr:col>
      <xdr:colOff>419100</xdr:colOff>
      <xdr:row>31</xdr:row>
      <xdr:rowOff>47625</xdr:rowOff>
    </xdr:to>
    <xdr:sp macro="" textlink="">
      <xdr:nvSpPr>
        <xdr:cNvPr id="8199" name="Text Box 7">
          <a:extLst>
            <a:ext uri="{FF2B5EF4-FFF2-40B4-BE49-F238E27FC236}">
              <a16:creationId xmlns:a16="http://schemas.microsoft.com/office/drawing/2014/main" id="{00000000-0008-0000-0100-000007200000}"/>
            </a:ext>
          </a:extLst>
        </xdr:cNvPr>
        <xdr:cNvSpPr txBox="1">
          <a:spLocks noChangeArrowheads="1"/>
        </xdr:cNvSpPr>
      </xdr:nvSpPr>
      <xdr:spPr bwMode="auto">
        <a:xfrm>
          <a:off x="7058025" y="1619250"/>
          <a:ext cx="2095500" cy="3476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IN" sz="1000" b="0" i="0" u="none" strike="noStrike" baseline="0">
              <a:solidFill>
                <a:srgbClr val="000000"/>
              </a:solidFill>
              <a:latin typeface="Arial"/>
              <a:cs typeface="Arial"/>
            </a:rPr>
            <a:t>Power dissipation is calculated from values entered in the calculator as well as the parameters on this page.</a:t>
          </a:r>
        </a:p>
        <a:p>
          <a:pPr algn="l" rtl="0">
            <a:defRPr sz="1000"/>
          </a:pPr>
          <a:endParaRPr lang="en-IN" sz="1000" b="0" i="0" u="none" strike="noStrike" baseline="0">
            <a:solidFill>
              <a:srgbClr val="000000"/>
            </a:solidFill>
            <a:latin typeface="Arial"/>
            <a:cs typeface="Arial"/>
          </a:endParaRPr>
        </a:p>
        <a:p>
          <a:pPr algn="l" rtl="0">
            <a:defRPr sz="1000"/>
          </a:pPr>
          <a:r>
            <a:rPr lang="en-IN" sz="1000" b="0" i="0" u="none" strike="noStrike" baseline="0">
              <a:solidFill>
                <a:srgbClr val="000000"/>
              </a:solidFill>
              <a:latin typeface="Arial"/>
              <a:cs typeface="Arial"/>
            </a:rPr>
            <a:t>Using VCCX will significantly reduce power dissipation as the FET gate charge will be taken from VCCX rather than VIN.</a:t>
          </a:r>
        </a:p>
        <a:p>
          <a:pPr algn="l" rtl="0">
            <a:defRPr sz="1000"/>
          </a:pPr>
          <a:endParaRPr lang="en-IN" sz="1000" b="0" i="0" u="none" strike="noStrike" baseline="0">
            <a:solidFill>
              <a:srgbClr val="000000"/>
            </a:solidFill>
            <a:latin typeface="Arial"/>
            <a:cs typeface="Arial"/>
          </a:endParaRPr>
        </a:p>
        <a:p>
          <a:pPr algn="l" rtl="0">
            <a:defRPr sz="1000"/>
          </a:pPr>
          <a:r>
            <a:rPr lang="en-IN" sz="1000" b="0" i="0" u="none" strike="noStrike" baseline="0">
              <a:solidFill>
                <a:srgbClr val="000000"/>
              </a:solidFill>
              <a:latin typeface="Arial"/>
              <a:cs typeface="Arial"/>
            </a:rPr>
            <a:t>FET's with larger gate charge (QG) require more current to drive and will increase power dissipation.</a:t>
          </a:r>
        </a:p>
        <a:p>
          <a:pPr algn="l" rtl="0">
            <a:defRPr sz="1000"/>
          </a:pPr>
          <a:endParaRPr lang="en-IN" sz="1000" b="0" i="0" u="none" strike="noStrike" baseline="0">
            <a:solidFill>
              <a:srgbClr val="000000"/>
            </a:solidFill>
            <a:latin typeface="Arial"/>
            <a:cs typeface="Arial"/>
          </a:endParaRPr>
        </a:p>
        <a:p>
          <a:pPr algn="l" rtl="0">
            <a:defRPr sz="1000"/>
          </a:pPr>
          <a:r>
            <a:rPr lang="en-IN" sz="1000" b="0" i="0" u="none" strike="noStrike" baseline="0">
              <a:solidFill>
                <a:srgbClr val="000000"/>
              </a:solidFill>
              <a:latin typeface="Arial"/>
              <a:cs typeface="Arial"/>
            </a:rPr>
            <a:t>Higher frequency switching increases power dissipation.</a:t>
          </a:r>
        </a:p>
        <a:p>
          <a:pPr algn="l" rtl="0">
            <a:defRPr sz="1000"/>
          </a:pPr>
          <a:endParaRPr lang="en-IN" sz="1000" b="0" i="0" u="none" strike="noStrike" baseline="0">
            <a:solidFill>
              <a:srgbClr val="000000"/>
            </a:solidFill>
            <a:latin typeface="Arial"/>
            <a:cs typeface="Arial"/>
          </a:endParaRPr>
        </a:p>
        <a:p>
          <a:pPr algn="l" rtl="0">
            <a:defRPr sz="1000"/>
          </a:pPr>
          <a:r>
            <a:rPr lang="en-IN" sz="1000" b="0" i="0" u="none" strike="noStrike" baseline="0">
              <a:solidFill>
                <a:srgbClr val="000000"/>
              </a:solidFill>
              <a:latin typeface="Arial"/>
              <a:cs typeface="Arial"/>
            </a:rPr>
            <a:t>Junction temperature should be kept below 125C</a:t>
          </a:r>
        </a:p>
        <a:p>
          <a:pPr algn="l" rtl="0">
            <a:defRPr sz="1000"/>
          </a:pPr>
          <a:endParaRPr lang="en-IN" sz="1000" b="0" i="0" u="none" strike="noStrike" baseline="0">
            <a:solidFill>
              <a:srgbClr val="000000"/>
            </a:solidFill>
            <a:latin typeface="Arial"/>
            <a:cs typeface="Arial"/>
          </a:endParaRPr>
        </a:p>
        <a:p>
          <a:pPr algn="l" rtl="0">
            <a:defRPr sz="1000"/>
          </a:pPr>
          <a:endParaRPr lang="en-IN"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40</xdr:row>
      <xdr:rowOff>28575</xdr:rowOff>
    </xdr:from>
    <xdr:to>
      <xdr:col>5</xdr:col>
      <xdr:colOff>733425</xdr:colOff>
      <xdr:row>56</xdr:row>
      <xdr:rowOff>152400</xdr:rowOff>
    </xdr:to>
    <xdr:graphicFrame macro="">
      <xdr:nvGraphicFramePr>
        <xdr:cNvPr id="5122" name="Chart 2">
          <a:extLst>
            <a:ext uri="{FF2B5EF4-FFF2-40B4-BE49-F238E27FC236}">
              <a16:creationId xmlns:a16="http://schemas.microsoft.com/office/drawing/2014/main" id="{00000000-0008-0000-0200-000002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19050</xdr:colOff>
      <xdr:row>23</xdr:row>
      <xdr:rowOff>38100</xdr:rowOff>
    </xdr:from>
    <xdr:to>
      <xdr:col>11</xdr:col>
      <xdr:colOff>600075</xdr:colOff>
      <xdr:row>39</xdr:row>
      <xdr:rowOff>152400</xdr:rowOff>
    </xdr:to>
    <xdr:graphicFrame macro="">
      <xdr:nvGraphicFramePr>
        <xdr:cNvPr id="5123" name="Chart 3">
          <a:extLst>
            <a:ext uri="{FF2B5EF4-FFF2-40B4-BE49-F238E27FC236}">
              <a16:creationId xmlns:a16="http://schemas.microsoft.com/office/drawing/2014/main" id="{00000000-0008-0000-0200-000003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19050</xdr:colOff>
      <xdr:row>23</xdr:row>
      <xdr:rowOff>38100</xdr:rowOff>
    </xdr:from>
    <xdr:to>
      <xdr:col>5</xdr:col>
      <xdr:colOff>733425</xdr:colOff>
      <xdr:row>40</xdr:row>
      <xdr:rowOff>0</xdr:rowOff>
    </xdr:to>
    <xdr:graphicFrame macro="">
      <xdr:nvGraphicFramePr>
        <xdr:cNvPr id="5125" name="Chart 5">
          <a:extLst>
            <a:ext uri="{FF2B5EF4-FFF2-40B4-BE49-F238E27FC236}">
              <a16:creationId xmlns:a16="http://schemas.microsoft.com/office/drawing/2014/main" id="{00000000-0008-0000-0200-000005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oleObject" Target="../embeddings/oleObject2.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30"/>
  <sheetViews>
    <sheetView showGridLines="0" tabSelected="1" topLeftCell="A19" zoomScale="90" zoomScaleNormal="90" zoomScaleSheetLayoutView="90" workbookViewId="0">
      <selection activeCell="O29" sqref="O29"/>
    </sheetView>
  </sheetViews>
  <sheetFormatPr defaultRowHeight="12.75" x14ac:dyDescent="0.2"/>
  <cols>
    <col min="1" max="2" width="25" style="1" customWidth="1"/>
    <col min="3" max="3" width="14" style="2" customWidth="1"/>
    <col min="4" max="4" width="2.42578125" style="2" customWidth="1"/>
    <col min="5" max="5" width="10.28515625" style="3" customWidth="1"/>
    <col min="6" max="6" width="9.140625" style="1"/>
    <col min="7" max="7" width="9.140625" style="1" hidden="1" customWidth="1"/>
    <col min="8" max="8" width="9.140625" style="1"/>
    <col min="9" max="10" width="15" style="1" customWidth="1"/>
    <col min="11" max="16384" width="9.140625" style="1"/>
  </cols>
  <sheetData>
    <row r="1" spans="1:8" s="5" customFormat="1" ht="17.25" customHeight="1" x14ac:dyDescent="0.25">
      <c r="A1" s="4" t="s">
        <v>143</v>
      </c>
      <c r="B1" s="4"/>
      <c r="C1" s="48"/>
      <c r="D1" s="49"/>
      <c r="E1" s="7" t="s">
        <v>114</v>
      </c>
      <c r="F1" s="92"/>
    </row>
    <row r="2" spans="1:8" s="5" customFormat="1" ht="14.25" customHeight="1" x14ac:dyDescent="0.25">
      <c r="A2" s="73" t="s">
        <v>175</v>
      </c>
      <c r="B2" s="4"/>
      <c r="C2" s="48"/>
      <c r="D2" s="49"/>
      <c r="E2" s="7"/>
      <c r="F2" s="49"/>
    </row>
    <row r="3" spans="1:8" s="5" customFormat="1" ht="41.25" customHeight="1" x14ac:dyDescent="0.2">
      <c r="C3" s="6"/>
      <c r="D3" s="6"/>
      <c r="E3" s="7"/>
      <c r="G3" s="50" t="s">
        <v>11</v>
      </c>
    </row>
    <row r="4" spans="1:8" s="5" customFormat="1" ht="13.5" customHeight="1" x14ac:dyDescent="0.2">
      <c r="A4" s="8" t="s">
        <v>16</v>
      </c>
      <c r="B4" s="8"/>
      <c r="C4" s="6" t="s">
        <v>0</v>
      </c>
      <c r="D4" s="6"/>
      <c r="E4" s="12">
        <v>14.4</v>
      </c>
      <c r="F4" s="9"/>
      <c r="G4" s="50" t="s">
        <v>12</v>
      </c>
    </row>
    <row r="5" spans="1:8" s="5" customFormat="1" ht="13.5" customHeight="1" x14ac:dyDescent="0.2">
      <c r="A5" s="70" t="s">
        <v>41</v>
      </c>
      <c r="B5" s="64"/>
      <c r="C5" s="6" t="s">
        <v>1</v>
      </c>
      <c r="D5" s="6"/>
      <c r="E5" s="12">
        <v>36</v>
      </c>
      <c r="F5" s="9"/>
      <c r="G5" s="44" t="s">
        <v>13</v>
      </c>
    </row>
    <row r="6" spans="1:8" s="5" customFormat="1" ht="14.25" x14ac:dyDescent="0.2">
      <c r="A6" s="70" t="s">
        <v>42</v>
      </c>
      <c r="B6" s="65"/>
      <c r="C6" s="6" t="s">
        <v>2</v>
      </c>
      <c r="D6" s="6"/>
      <c r="E6" s="12">
        <v>60</v>
      </c>
      <c r="F6" s="9"/>
      <c r="G6" s="50" t="s">
        <v>14</v>
      </c>
    </row>
    <row r="7" spans="1:8" s="5" customFormat="1" x14ac:dyDescent="0.2">
      <c r="A7" s="66"/>
      <c r="B7" s="65"/>
      <c r="C7" s="6" t="s">
        <v>39</v>
      </c>
      <c r="D7" s="6"/>
      <c r="E7" s="12">
        <v>3</v>
      </c>
      <c r="F7" s="9"/>
      <c r="G7" s="50" t="s">
        <v>139</v>
      </c>
    </row>
    <row r="8" spans="1:8" s="5" customFormat="1" x14ac:dyDescent="0.2">
      <c r="A8" s="66"/>
      <c r="B8" s="52"/>
      <c r="C8" s="6" t="s">
        <v>36</v>
      </c>
      <c r="D8" s="6"/>
      <c r="E8" s="13">
        <v>50</v>
      </c>
      <c r="F8" s="9"/>
      <c r="G8" s="44" t="s">
        <v>140</v>
      </c>
      <c r="H8" s="51"/>
    </row>
    <row r="9" spans="1:8" s="5" customFormat="1" x14ac:dyDescent="0.2">
      <c r="A9" s="66"/>
      <c r="B9" s="52"/>
      <c r="C9" s="6" t="s">
        <v>40</v>
      </c>
      <c r="D9" s="6"/>
      <c r="E9" s="141">
        <v>0</v>
      </c>
      <c r="F9" s="9"/>
      <c r="H9" s="51"/>
    </row>
    <row r="10" spans="1:8" s="5" customFormat="1" x14ac:dyDescent="0.2">
      <c r="A10" s="66"/>
      <c r="B10" s="52"/>
      <c r="C10" s="6"/>
      <c r="D10" s="6"/>
      <c r="E10" s="122"/>
      <c r="F10" s="9"/>
      <c r="H10" s="51"/>
    </row>
    <row r="11" spans="1:8" s="5" customFormat="1" x14ac:dyDescent="0.2">
      <c r="A11" s="66"/>
      <c r="B11" s="52"/>
      <c r="C11" s="6" t="s">
        <v>144</v>
      </c>
      <c r="D11" s="6"/>
      <c r="E11" s="123" t="str">
        <f>IF(VinMax&gt;42,"LM5116","LM25116")</f>
        <v>LM5116</v>
      </c>
      <c r="F11" s="9"/>
      <c r="H11" s="51"/>
    </row>
    <row r="12" spans="1:8" s="5" customFormat="1" ht="13.5" customHeight="1" x14ac:dyDescent="0.2">
      <c r="A12" s="52"/>
      <c r="F12" s="9"/>
    </row>
    <row r="13" spans="1:8" s="5" customFormat="1" x14ac:dyDescent="0.2">
      <c r="A13" s="68" t="s">
        <v>146</v>
      </c>
      <c r="B13" s="52"/>
      <c r="C13" s="6" t="s">
        <v>37</v>
      </c>
      <c r="D13" s="6"/>
      <c r="E13" s="13">
        <v>5</v>
      </c>
      <c r="F13" s="9"/>
    </row>
    <row r="14" spans="1:8" s="5" customFormat="1" x14ac:dyDescent="0.2">
      <c r="A14" s="52"/>
      <c r="B14" s="52"/>
      <c r="C14" s="6" t="s">
        <v>96</v>
      </c>
      <c r="D14" s="6"/>
      <c r="E14" s="67">
        <f>(1+Ilimit_margin)*Iout</f>
        <v>3.1500000000000004</v>
      </c>
      <c r="F14" s="9"/>
    </row>
    <row r="15" spans="1:8" s="5" customFormat="1" x14ac:dyDescent="0.2">
      <c r="A15" s="52"/>
      <c r="B15" s="52"/>
      <c r="C15" s="6" t="s">
        <v>45</v>
      </c>
      <c r="D15" s="6"/>
      <c r="E15" s="74">
        <f>Vcs/Rs</f>
        <v>5.1236842105263163</v>
      </c>
      <c r="F15" s="9"/>
    </row>
    <row r="16" spans="1:8" s="5" customFormat="1" ht="14.25" customHeight="1" x14ac:dyDescent="0.2">
      <c r="A16" s="9" t="str">
        <f>IF(AND((IsenseMethod="RDSON"),(Rg&lt;0)), "Rds is too low for desired current limit"," ")</f>
        <v xml:space="preserve"> </v>
      </c>
      <c r="B16" s="8"/>
      <c r="C16" s="6" t="s">
        <v>38</v>
      </c>
      <c r="D16" s="6"/>
      <c r="E16" s="109" t="s">
        <v>14</v>
      </c>
      <c r="F16" s="9"/>
    </row>
    <row r="17" spans="1:9" s="5" customFormat="1" ht="14.25" customHeight="1" x14ac:dyDescent="0.2">
      <c r="B17" s="53"/>
      <c r="C17" s="82" t="s">
        <v>35</v>
      </c>
      <c r="D17" s="6"/>
      <c r="E17" s="80">
        <v>44.7</v>
      </c>
    </row>
    <row r="18" spans="1:9" s="5" customFormat="1" ht="14.25" customHeight="1" x14ac:dyDescent="0.2">
      <c r="B18" s="53"/>
      <c r="C18" s="82" t="s">
        <v>17</v>
      </c>
      <c r="D18" s="6"/>
      <c r="E18" s="77">
        <f>(10000*Rdson/A/(E19/1000)-1000)</f>
        <v>1082.0789473684213</v>
      </c>
      <c r="F18" s="9"/>
    </row>
    <row r="19" spans="1:9" s="5" customFormat="1" ht="14.25" customHeight="1" x14ac:dyDescent="0.2">
      <c r="A19" s="53"/>
      <c r="B19" s="53"/>
      <c r="C19" s="10" t="s">
        <v>15</v>
      </c>
      <c r="D19" s="11"/>
      <c r="E19" s="69">
        <f>IF(Vout&lt;=5, Rs_lt5/0.001, IF(Vout&gt;7.5, Rs_gt7p5/0.001,Rs_5t7p5/0.001))</f>
        <v>21.468926553672315</v>
      </c>
      <c r="F19" s="9"/>
    </row>
    <row r="20" spans="1:9" s="5" customFormat="1" ht="15" customHeight="1" x14ac:dyDescent="0.2">
      <c r="B20" s="53"/>
      <c r="C20" s="6"/>
      <c r="D20" s="6"/>
      <c r="E20"/>
      <c r="F20" s="9"/>
    </row>
    <row r="21" spans="1:9" s="14" customFormat="1" ht="12.75" customHeight="1" x14ac:dyDescent="0.2">
      <c r="A21" s="8" t="s">
        <v>18</v>
      </c>
      <c r="B21" s="8"/>
      <c r="C21" s="6" t="s">
        <v>166</v>
      </c>
      <c r="D21" s="6"/>
      <c r="E21" s="35">
        <v>150</v>
      </c>
      <c r="G21" s="5"/>
    </row>
    <row r="22" spans="1:9" s="5" customFormat="1" x14ac:dyDescent="0.2">
      <c r="A22" s="9" t="str">
        <f>IF(Fsw&gt;MIN(FswMaxDC,FswMinDC), " Decrease Switching Frequency or check Vin range!", "")</f>
        <v/>
      </c>
      <c r="B22" s="8"/>
      <c r="C22" s="6" t="s">
        <v>7</v>
      </c>
      <c r="D22" s="6"/>
      <c r="E22" s="39">
        <f>(1/Fsw-0.00000045)/0.000000000284/1000</f>
        <v>21.889671361502348</v>
      </c>
      <c r="F22" s="21"/>
      <c r="G22" s="7"/>
      <c r="H22" s="22"/>
    </row>
    <row r="23" spans="1:9" s="15" customFormat="1" ht="12.75" customHeight="1" x14ac:dyDescent="0.2">
      <c r="A23" s="9" t="str">
        <f>IF(Fsw&gt;MIN(FswMaxDC,FswMinDC), " Fsw limited by Vin : Vout ratio", "")</f>
        <v/>
      </c>
      <c r="B23" s="5"/>
      <c r="C23" s="6"/>
      <c r="D23" s="6"/>
      <c r="E23" s="7"/>
      <c r="F23" s="5"/>
      <c r="G23" s="5"/>
    </row>
    <row r="24" spans="1:9" s="14" customFormat="1" x14ac:dyDescent="0.2">
      <c r="A24" s="8" t="s">
        <v>19</v>
      </c>
      <c r="B24" s="8"/>
      <c r="C24" s="6" t="s">
        <v>51</v>
      </c>
      <c r="D24" s="6"/>
      <c r="E24" s="36">
        <v>56</v>
      </c>
      <c r="F24" s="5"/>
      <c r="G24" s="5"/>
      <c r="H24" s="5"/>
      <c r="I24" s="5"/>
    </row>
    <row r="25" spans="1:9" s="14" customFormat="1" x14ac:dyDescent="0.2">
      <c r="A25" s="5"/>
      <c r="B25" s="5"/>
      <c r="C25" s="6" t="s">
        <v>52</v>
      </c>
      <c r="D25" s="6"/>
      <c r="E25" s="36">
        <v>30</v>
      </c>
      <c r="F25" s="16"/>
      <c r="G25" s="5"/>
      <c r="H25" s="17"/>
      <c r="I25" s="18"/>
    </row>
    <row r="26" spans="1:9" s="14" customFormat="1" x14ac:dyDescent="0.2">
      <c r="A26" s="5"/>
      <c r="B26" s="5"/>
      <c r="C26" s="6" t="s">
        <v>53</v>
      </c>
      <c r="D26" s="6"/>
      <c r="E26" s="37">
        <f>(Cout1+Cout2)*1000000</f>
        <v>86</v>
      </c>
      <c r="F26" s="16"/>
      <c r="G26" s="5"/>
      <c r="H26" s="17"/>
      <c r="I26" s="18"/>
    </row>
    <row r="27" spans="1:9" s="14" customFormat="1" x14ac:dyDescent="0.2">
      <c r="A27" s="5"/>
      <c r="B27" s="5"/>
      <c r="C27" s="6" t="s">
        <v>6</v>
      </c>
      <c r="D27" s="6"/>
      <c r="E27" s="38">
        <v>0.01</v>
      </c>
      <c r="F27" s="16"/>
      <c r="G27" s="5"/>
      <c r="H27" s="19"/>
      <c r="I27" s="20"/>
    </row>
    <row r="28" spans="1:9" s="14" customFormat="1" x14ac:dyDescent="0.2">
      <c r="A28" s="5"/>
      <c r="B28" s="5"/>
      <c r="C28" s="11" t="s">
        <v>5</v>
      </c>
      <c r="D28" s="11"/>
      <c r="E28" s="142">
        <f>Iout*(Iripple_pct)*SQRT(ESR^2  +  (1/(8*Fsw*Cout))^2   )*1000</f>
        <v>20.886906060519415</v>
      </c>
      <c r="F28" s="16"/>
      <c r="G28" s="5"/>
      <c r="H28" s="19"/>
    </row>
    <row r="29" spans="1:9" s="5" customFormat="1" ht="14.25" customHeight="1" x14ac:dyDescent="0.2">
      <c r="C29" s="6"/>
      <c r="D29" s="6"/>
      <c r="E29" s="23"/>
      <c r="F29" s="16"/>
      <c r="G29" s="7"/>
      <c r="H29" s="19"/>
    </row>
    <row r="30" spans="1:9" s="5" customFormat="1" x14ac:dyDescent="0.2">
      <c r="A30" s="8" t="s">
        <v>156</v>
      </c>
      <c r="B30" s="8"/>
      <c r="C30" s="6" t="s">
        <v>92</v>
      </c>
      <c r="D30" s="6"/>
      <c r="E30" s="40">
        <f>Vout*(VinMax-Vout)/(Iout*Iripple_pct*Fsw*VinMax)*1000000</f>
        <v>48.64</v>
      </c>
      <c r="F30" s="21"/>
      <c r="G30" s="7"/>
      <c r="H30" s="19"/>
    </row>
    <row r="31" spans="1:9" s="5" customFormat="1" x14ac:dyDescent="0.2">
      <c r="C31" s="6"/>
      <c r="D31" s="6"/>
      <c r="E31" s="23"/>
      <c r="F31" s="16"/>
      <c r="G31" s="7"/>
      <c r="H31" s="24"/>
      <c r="I31" s="25"/>
    </row>
    <row r="32" spans="1:9" s="14" customFormat="1" ht="12.75" customHeight="1" x14ac:dyDescent="0.2">
      <c r="A32" s="8" t="s">
        <v>157</v>
      </c>
      <c r="B32" s="8"/>
      <c r="C32" s="6" t="s">
        <v>24</v>
      </c>
      <c r="D32" s="6"/>
      <c r="E32" s="76">
        <f>IF(Vout&lt;=5, Cramp_lt5/0.000000000001, IF(Vout&gt;7.5, Cramp_gt7p5/0.000000000001,Cramp_5t7p5/0.000000000001))</f>
        <v>755.2</v>
      </c>
      <c r="G32" s="7"/>
      <c r="H32" s="19"/>
      <c r="I32" s="26"/>
    </row>
    <row r="33" spans="1:9" s="14" customFormat="1" ht="12.75" customHeight="1" x14ac:dyDescent="0.2">
      <c r="A33" s="9"/>
      <c r="B33" s="8"/>
      <c r="C33" s="6" t="s">
        <v>44</v>
      </c>
      <c r="D33" s="6"/>
      <c r="E33" s="40">
        <f>IF(Vout&gt;7.5, (VCC-Vramp)/(Iosc-0.000025)/1000, "-")</f>
        <v>296.86809137803982</v>
      </c>
      <c r="F33" s="16"/>
      <c r="G33" s="5"/>
      <c r="H33" s="19"/>
      <c r="I33" s="83" t="s">
        <v>54</v>
      </c>
    </row>
    <row r="34" spans="1:9" s="14" customFormat="1" ht="12.75" customHeight="1" x14ac:dyDescent="0.2">
      <c r="A34" s="8"/>
      <c r="B34" s="8"/>
      <c r="C34" s="6"/>
      <c r="D34" s="6"/>
      <c r="E34" s="27"/>
      <c r="F34" s="16"/>
      <c r="G34" s="5"/>
      <c r="H34" s="19"/>
      <c r="I34" s="26"/>
    </row>
    <row r="35" spans="1:9" s="14" customFormat="1" ht="12.75" customHeight="1" x14ac:dyDescent="0.2">
      <c r="A35" s="8" t="s">
        <v>158</v>
      </c>
      <c r="B35" s="8"/>
      <c r="C35" s="6" t="s">
        <v>23</v>
      </c>
      <c r="D35" s="6"/>
      <c r="E35" s="46" t="s">
        <v>11</v>
      </c>
      <c r="F35" s="16"/>
      <c r="G35" s="5"/>
      <c r="H35" s="19"/>
      <c r="I35" s="26"/>
    </row>
    <row r="36" spans="1:9" s="14" customFormat="1" ht="12.75" customHeight="1" x14ac:dyDescent="0.2">
      <c r="A36" s="8"/>
      <c r="B36" s="8"/>
      <c r="C36" s="6" t="str">
        <f>IF(UVLOdesired = "Yes", "VIN Under Voltage Threshold (V)", " ")</f>
        <v>VIN Under Voltage Threshold (V)</v>
      </c>
      <c r="D36" s="6"/>
      <c r="E36" s="81">
        <v>36</v>
      </c>
      <c r="F36" s="16"/>
      <c r="G36" s="5"/>
      <c r="H36" s="19"/>
      <c r="I36" s="26"/>
    </row>
    <row r="37" spans="1:9" s="5" customFormat="1" x14ac:dyDescent="0.2">
      <c r="A37" s="72"/>
      <c r="C37" s="10" t="s">
        <v>22</v>
      </c>
      <c r="D37" s="6"/>
      <c r="E37" s="125">
        <v>300</v>
      </c>
      <c r="F37" s="60"/>
      <c r="G37" s="7"/>
    </row>
    <row r="38" spans="1:9" s="5" customFormat="1" x14ac:dyDescent="0.2">
      <c r="A38" s="72" t="str">
        <f>IF(UVLOdesired="Yes", IF(VinMax*_Ruv1/(_Ruv2+_Ruv1)&gt;16," UVLO pin &gt;16V at Vin(max)!, external clamp required", ""), "")</f>
        <v/>
      </c>
      <c r="B38" s="8"/>
      <c r="C38" s="10" t="s">
        <v>167</v>
      </c>
      <c r="D38" s="6"/>
      <c r="E38" s="41">
        <f>IF(UVLOdesired="Yes", Vref*((_Ruv2)/(VIN_UVLO+0.000005*(_Ruv2)-Vref))/1000, "-")</f>
        <v>10.045473336089294</v>
      </c>
      <c r="F38" s="16"/>
      <c r="G38" s="7"/>
    </row>
    <row r="39" spans="1:9" s="14" customFormat="1" ht="12.75" customHeight="1" x14ac:dyDescent="0.2">
      <c r="B39" s="8"/>
      <c r="C39" s="10" t="s">
        <v>22</v>
      </c>
      <c r="D39" s="6"/>
      <c r="E39" s="45" t="s">
        <v>21</v>
      </c>
      <c r="F39" s="29"/>
      <c r="G39" s="7"/>
      <c r="H39" s="19"/>
      <c r="I39" s="26"/>
    </row>
    <row r="40" spans="1:9" s="14" customFormat="1" ht="12.75" customHeight="1" x14ac:dyDescent="0.2">
      <c r="A40" s="8"/>
      <c r="B40" s="8"/>
      <c r="C40" s="6"/>
      <c r="D40" s="6"/>
      <c r="E40" s="28"/>
      <c r="F40" s="29"/>
      <c r="G40" s="7"/>
      <c r="H40" s="19"/>
      <c r="I40" s="26"/>
    </row>
    <row r="41" spans="1:9" s="14" customFormat="1" ht="12.75" customHeight="1" x14ac:dyDescent="0.2">
      <c r="A41" s="30" t="s">
        <v>159</v>
      </c>
      <c r="B41" s="30"/>
      <c r="C41" s="6" t="s">
        <v>50</v>
      </c>
      <c r="D41" s="6"/>
      <c r="E41" s="47">
        <v>1</v>
      </c>
      <c r="F41" s="16"/>
      <c r="G41" s="7"/>
      <c r="H41" s="19"/>
      <c r="I41" s="26"/>
    </row>
    <row r="42" spans="1:9" s="14" customFormat="1" ht="12.75" customHeight="1" x14ac:dyDescent="0.2">
      <c r="A42" s="8"/>
      <c r="B42" s="8"/>
      <c r="C42" s="31" t="s">
        <v>8</v>
      </c>
      <c r="E42" s="42">
        <f>IF(UVLOdesired="Yes",-(_Ruv1*_Ruv2)/(_Ruv1+_Ruv2)*Cft*LN(1- Vref*(_Ruv1+_Ruv2)/(VinMax*_Ruv1)  )*1000, Cft*Vref/0.000005*1000)</f>
        <v>9.5336603392739789</v>
      </c>
      <c r="F42" s="5"/>
      <c r="G42" s="7"/>
      <c r="H42" s="19"/>
      <c r="I42" s="26"/>
    </row>
    <row r="43" spans="1:9" s="14" customFormat="1" ht="12.75" customHeight="1" x14ac:dyDescent="0.2">
      <c r="A43" s="8"/>
      <c r="B43" s="8"/>
      <c r="C43" s="31" t="s">
        <v>9</v>
      </c>
      <c r="E43" s="43">
        <f>255*(1/Fsw)*1000</f>
        <v>1.7</v>
      </c>
      <c r="F43" s="5"/>
      <c r="G43" s="7"/>
      <c r="H43" s="19"/>
      <c r="I43" s="26"/>
    </row>
    <row r="44" spans="1:9" s="14" customFormat="1" ht="12.75" customHeight="1" x14ac:dyDescent="0.2">
      <c r="A44" s="8"/>
      <c r="B44" s="8"/>
      <c r="C44" s="31" t="s">
        <v>10</v>
      </c>
      <c r="E44" s="143">
        <f>ton/(ton+toff)</f>
        <v>0.15133090628142221</v>
      </c>
      <c r="F44" s="5"/>
      <c r="G44" s="7"/>
      <c r="H44" s="19"/>
      <c r="I44" s="26"/>
    </row>
    <row r="45" spans="1:9" s="5" customFormat="1" x14ac:dyDescent="0.2">
      <c r="C45" s="6"/>
      <c r="D45" s="6"/>
      <c r="E45" s="7"/>
      <c r="G45" s="7"/>
      <c r="H45" s="24"/>
      <c r="I45" s="25"/>
    </row>
    <row r="46" spans="1:9" s="5" customFormat="1" x14ac:dyDescent="0.2">
      <c r="A46" s="8" t="s">
        <v>160</v>
      </c>
      <c r="B46" s="8"/>
      <c r="C46" s="6" t="s">
        <v>3</v>
      </c>
      <c r="D46" s="6"/>
      <c r="E46" s="79">
        <v>1100</v>
      </c>
      <c r="G46" s="7"/>
      <c r="H46" s="19"/>
      <c r="I46" s="33"/>
    </row>
    <row r="47" spans="1:9" s="5" customFormat="1" x14ac:dyDescent="0.2">
      <c r="C47" s="6" t="s">
        <v>4</v>
      </c>
      <c r="D47" s="6"/>
      <c r="E47" s="78">
        <f>_Rfb1*(Vout/Vref-1)</f>
        <v>11937.037037037036</v>
      </c>
      <c r="G47" s="7"/>
      <c r="H47" s="19"/>
      <c r="I47" s="34"/>
    </row>
    <row r="48" spans="1:9" s="5" customFormat="1" x14ac:dyDescent="0.2">
      <c r="C48" s="6"/>
      <c r="D48" s="6"/>
      <c r="E48" s="32"/>
      <c r="G48" s="7"/>
      <c r="H48" s="19"/>
      <c r="I48" s="34"/>
    </row>
    <row r="49" spans="1:11" s="5" customFormat="1" x14ac:dyDescent="0.2">
      <c r="A49" s="8" t="s">
        <v>161</v>
      </c>
      <c r="B49" s="8"/>
      <c r="C49" s="6" t="s">
        <v>23</v>
      </c>
      <c r="D49" s="6"/>
      <c r="E49" s="46" t="s">
        <v>12</v>
      </c>
      <c r="G49" s="7"/>
      <c r="H49" s="19"/>
      <c r="I49" s="34"/>
    </row>
    <row r="50" spans="1:11" s="5" customFormat="1" x14ac:dyDescent="0.2">
      <c r="C50" s="6" t="s">
        <v>20</v>
      </c>
      <c r="D50" s="6"/>
      <c r="E50" s="78">
        <f>IF(DiodeEmulation="Yes", 0, IF(IsenseMethod="RDSON",3*Rdson_150c*Iripple_pct/2*Ilimit/0.000045,(Rs+3*Rdson_150c)*Iripple_pct/2*Ilimit/0.000045))</f>
        <v>4165.7074646892661</v>
      </c>
      <c r="F50" s="9"/>
      <c r="G50" s="7"/>
      <c r="H50" s="19"/>
      <c r="I50" s="34"/>
    </row>
    <row r="51" spans="1:11" s="5" customFormat="1" ht="12.75" customHeight="1" x14ac:dyDescent="0.2">
      <c r="C51" s="6"/>
      <c r="D51" s="6"/>
      <c r="E51" s="7"/>
      <c r="G51" s="7"/>
      <c r="H51" s="19"/>
      <c r="I51" s="34"/>
    </row>
    <row r="52" spans="1:11" s="5" customFormat="1" x14ac:dyDescent="0.2">
      <c r="A52" s="8" t="s">
        <v>162</v>
      </c>
      <c r="B52" s="8"/>
      <c r="C52" s="6" t="s">
        <v>147</v>
      </c>
      <c r="D52" s="6"/>
      <c r="E52" s="130">
        <v>20</v>
      </c>
      <c r="G52" s="7"/>
      <c r="H52" s="19"/>
    </row>
    <row r="53" spans="1:11" s="5" customFormat="1" x14ac:dyDescent="0.2">
      <c r="A53" s="127"/>
      <c r="B53" s="8"/>
      <c r="C53" s="6" t="s">
        <v>148</v>
      </c>
      <c r="D53" s="6"/>
      <c r="E53" s="130">
        <v>34</v>
      </c>
      <c r="G53" s="7"/>
      <c r="H53" s="19"/>
    </row>
    <row r="54" spans="1:11" customFormat="1" x14ac:dyDescent="0.2">
      <c r="C54" s="31" t="s">
        <v>46</v>
      </c>
      <c r="E54" s="54">
        <f>(Qgl+Qgh)/0.1*1000000</f>
        <v>0.54763636363636359</v>
      </c>
      <c r="H54" s="19"/>
      <c r="I54" s="5"/>
      <c r="J54" s="5"/>
    </row>
    <row r="55" spans="1:11" customFormat="1" x14ac:dyDescent="0.2">
      <c r="A55" s="127"/>
      <c r="C55" s="6" t="s">
        <v>149</v>
      </c>
      <c r="D55" s="6"/>
      <c r="E55" s="130">
        <v>20</v>
      </c>
      <c r="H55" s="19"/>
    </row>
    <row r="56" spans="1:11" customFormat="1" x14ac:dyDescent="0.2">
      <c r="C56" s="6" t="s">
        <v>150</v>
      </c>
      <c r="D56" s="6"/>
      <c r="E56" s="130">
        <v>34</v>
      </c>
      <c r="H56" s="19"/>
    </row>
    <row r="57" spans="1:11" s="5" customFormat="1" x14ac:dyDescent="0.2">
      <c r="A57" s="8"/>
      <c r="B57" s="8"/>
      <c r="C57" s="6" t="s">
        <v>47</v>
      </c>
      <c r="D57" s="6"/>
      <c r="E57" s="54">
        <f>Qgh/0.1*1000000</f>
        <v>0.27381818181818179</v>
      </c>
      <c r="G57" s="7"/>
    </row>
    <row r="58" spans="1:11" s="5" customFormat="1" x14ac:dyDescent="0.2">
      <c r="A58" s="9" t="str">
        <f>IF(ICCstartup&gt;0.015, " See comment for VCC current ===&gt;", "")</f>
        <v/>
      </c>
      <c r="C58" s="6" t="s">
        <v>151</v>
      </c>
      <c r="D58" s="6"/>
      <c r="E58" s="131">
        <f>(Qglstart+Qghstart)*Fsw*1000+1</f>
        <v>9.2145454545454548</v>
      </c>
    </row>
    <row r="59" spans="1:11" s="5" customFormat="1" x14ac:dyDescent="0.2">
      <c r="A59" s="128"/>
      <c r="B59" s="129"/>
      <c r="C59" s="6" t="s">
        <v>152</v>
      </c>
      <c r="D59" s="6"/>
      <c r="E59" s="131">
        <f>(Qgl+Qgh)*Fsw*1000+1</f>
        <v>9.2145454545454548</v>
      </c>
    </row>
    <row r="60" spans="1:11" s="5" customFormat="1" x14ac:dyDescent="0.2">
      <c r="A60" s="9" t="str">
        <f>IF(ICCstartup&gt;0.015, " Use lower gate charge MOSFETs or reduce Fsw! (VCC current limit = 15mA minimum)", "")</f>
        <v/>
      </c>
      <c r="G60" s="7"/>
      <c r="H60" s="19"/>
      <c r="I60" s="33"/>
    </row>
    <row r="61" spans="1:11" s="5" customFormat="1" x14ac:dyDescent="0.2">
      <c r="A61" s="8" t="s">
        <v>163</v>
      </c>
      <c r="B61" s="8"/>
      <c r="C61" s="6" t="s">
        <v>48</v>
      </c>
      <c r="D61" s="6"/>
      <c r="E61" s="131">
        <f>Ilimit/2/Fsw*1000000</f>
        <v>10.500000000000002</v>
      </c>
      <c r="H61" s="24"/>
      <c r="K61" s="53"/>
    </row>
    <row r="62" spans="1:11" s="5" customFormat="1" x14ac:dyDescent="0.2">
      <c r="C62" s="6"/>
      <c r="D62" s="6"/>
      <c r="E62" s="7"/>
      <c r="I62" s="24"/>
    </row>
    <row r="63" spans="1:11" s="5" customFormat="1" ht="13.5" customHeight="1" x14ac:dyDescent="0.2">
      <c r="A63" s="30" t="s">
        <v>164</v>
      </c>
      <c r="B63" s="30"/>
      <c r="C63" s="31" t="s">
        <v>137</v>
      </c>
      <c r="E63" s="63">
        <v>22</v>
      </c>
    </row>
    <row r="64" spans="1:11" s="5" customFormat="1" x14ac:dyDescent="0.2">
      <c r="A64" s="8"/>
      <c r="B64" s="8"/>
      <c r="C64" s="31" t="s">
        <v>26</v>
      </c>
      <c r="E64" s="124">
        <f>1/Ri</f>
        <v>4.6578947368421053</v>
      </c>
    </row>
    <row r="65" spans="1:9" s="5" customFormat="1" x14ac:dyDescent="0.2">
      <c r="A65" s="8"/>
      <c r="B65" s="8"/>
      <c r="C65" s="31" t="s">
        <v>138</v>
      </c>
      <c r="E65" s="124">
        <f>Gmod/(2*PI()*Cout)/1000</f>
        <v>8.6200810670946968</v>
      </c>
      <c r="I65" s="83" t="s">
        <v>55</v>
      </c>
    </row>
    <row r="66" spans="1:9" s="5" customFormat="1" x14ac:dyDescent="0.2">
      <c r="A66" s="50" t="str">
        <f>IF(10*Fc&gt;Fsw, " Bandwidth is too close to the switching frequncy"," ")</f>
        <v xml:space="preserve"> Bandwidth is too close to the switching frequncy</v>
      </c>
      <c r="C66" s="6" t="s">
        <v>142</v>
      </c>
      <c r="D66" s="6"/>
      <c r="E66" s="110">
        <f>2*PI()*Fc*_Rfb2*Cout/Gmod/1000</f>
        <v>30.465469265398234</v>
      </c>
    </row>
    <row r="67" spans="1:9" s="5" customFormat="1" x14ac:dyDescent="0.2">
      <c r="C67" s="6" t="s">
        <v>34</v>
      </c>
      <c r="D67" s="6"/>
      <c r="E67" s="75">
        <f>10/(2*PI()*Fc*Rcomp)/0.000000000001</f>
        <v>2374.5951628267453</v>
      </c>
    </row>
    <row r="68" spans="1:9" s="5" customFormat="1" x14ac:dyDescent="0.2">
      <c r="C68" s="6" t="s">
        <v>33</v>
      </c>
      <c r="D68" s="6"/>
      <c r="E68" s="61">
        <f>MAX(Cout*ESR/Rcomp,Ccomp/100)/0.000000000001</f>
        <v>28.228680559887593</v>
      </c>
    </row>
    <row r="69" spans="1:9" s="5" customFormat="1" x14ac:dyDescent="0.2">
      <c r="C69" s="6" t="s">
        <v>25</v>
      </c>
      <c r="D69" s="6"/>
      <c r="E69" s="124">
        <f>1/(2*PI()*Rcomp*Ccomp)/1000</f>
        <v>2.1999999999999997</v>
      </c>
    </row>
    <row r="70" spans="1:9" s="5" customFormat="1" x14ac:dyDescent="0.2">
      <c r="C70" s="6"/>
      <c r="D70" s="6"/>
      <c r="E70" s="7"/>
      <c r="G70" s="7"/>
      <c r="H70" s="19"/>
      <c r="I70" s="33"/>
    </row>
    <row r="71" spans="1:9" s="5" customFormat="1" x14ac:dyDescent="0.2">
      <c r="A71" s="8" t="s">
        <v>165</v>
      </c>
      <c r="B71" s="8"/>
      <c r="C71" s="31" t="s">
        <v>145</v>
      </c>
      <c r="E71" s="124">
        <f>Vout*Cout/(Ilimit-Iout)*1000</f>
        <v>8.2559999999999825</v>
      </c>
    </row>
    <row r="72" spans="1:9" s="5" customFormat="1" x14ac:dyDescent="0.2">
      <c r="A72" s="9" t="str">
        <f>IF(tssmin&gt;tss, " To prevent overshoot, set tss &gt; tss(min)!", "")</f>
        <v xml:space="preserve"> To prevent overshoot, set tss &gt; tss(min)!</v>
      </c>
      <c r="C72" s="6" t="s">
        <v>43</v>
      </c>
      <c r="D72" s="6"/>
      <c r="E72" s="62">
        <v>1.2</v>
      </c>
    </row>
    <row r="73" spans="1:9" s="5" customFormat="1" x14ac:dyDescent="0.2">
      <c r="C73" s="6" t="s">
        <v>49</v>
      </c>
      <c r="D73" s="6"/>
      <c r="E73" s="71">
        <f>0.00001*tss/Vref*1000000</f>
        <v>9.876543209876543E-3</v>
      </c>
    </row>
    <row r="74" spans="1:9" s="5" customFormat="1" x14ac:dyDescent="0.2">
      <c r="C74" s="6"/>
      <c r="D74" s="6"/>
      <c r="E74" s="7"/>
    </row>
    <row r="75" spans="1:9" s="5" customFormat="1" x14ac:dyDescent="0.2">
      <c r="C75" s="6"/>
      <c r="D75" s="6"/>
      <c r="E75" s="7"/>
    </row>
    <row r="76" spans="1:9" s="5" customFormat="1" x14ac:dyDescent="0.2">
      <c r="C76" s="6"/>
      <c r="D76" s="6"/>
      <c r="E76" s="7"/>
    </row>
    <row r="77" spans="1:9" s="5" customFormat="1" x14ac:dyDescent="0.2">
      <c r="C77" s="6"/>
      <c r="D77" s="6"/>
      <c r="E77" s="7"/>
    </row>
    <row r="78" spans="1:9" s="5" customFormat="1" x14ac:dyDescent="0.2">
      <c r="C78" s="6"/>
      <c r="D78" s="6"/>
      <c r="E78" s="7"/>
    </row>
    <row r="79" spans="1:9" s="5" customFormat="1" x14ac:dyDescent="0.2">
      <c r="C79" s="6"/>
      <c r="D79" s="6"/>
      <c r="E79" s="7"/>
    </row>
    <row r="80" spans="1:9" s="5" customFormat="1" x14ac:dyDescent="0.2">
      <c r="C80" s="6"/>
      <c r="D80" s="6"/>
      <c r="E80" s="7"/>
    </row>
    <row r="81" spans="3:5" s="5" customFormat="1" x14ac:dyDescent="0.2">
      <c r="C81" s="6"/>
      <c r="D81" s="6"/>
      <c r="E81" s="7"/>
    </row>
    <row r="82" spans="3:5" s="5" customFormat="1" x14ac:dyDescent="0.2">
      <c r="C82" s="6"/>
      <c r="D82" s="6"/>
      <c r="E82" s="7"/>
    </row>
    <row r="83" spans="3:5" s="5" customFormat="1" x14ac:dyDescent="0.2">
      <c r="C83" s="6"/>
      <c r="D83" s="6"/>
      <c r="E83" s="7"/>
    </row>
    <row r="84" spans="3:5" s="5" customFormat="1" x14ac:dyDescent="0.2">
      <c r="C84" s="6"/>
      <c r="D84" s="6"/>
      <c r="E84" s="7"/>
    </row>
    <row r="85" spans="3:5" s="5" customFormat="1" x14ac:dyDescent="0.2">
      <c r="C85" s="6"/>
      <c r="D85" s="6"/>
      <c r="E85" s="7"/>
    </row>
    <row r="86" spans="3:5" s="5" customFormat="1" x14ac:dyDescent="0.2">
      <c r="C86" s="6"/>
      <c r="D86" s="6"/>
      <c r="E86" s="7"/>
    </row>
    <row r="87" spans="3:5" s="5" customFormat="1" x14ac:dyDescent="0.2">
      <c r="C87" s="6"/>
      <c r="D87" s="6"/>
      <c r="E87" s="7"/>
    </row>
    <row r="88" spans="3:5" s="5" customFormat="1" x14ac:dyDescent="0.2">
      <c r="C88" s="6"/>
      <c r="D88" s="6"/>
      <c r="E88" s="7"/>
    </row>
    <row r="89" spans="3:5" s="5" customFormat="1" x14ac:dyDescent="0.2">
      <c r="C89" s="6"/>
      <c r="D89" s="6"/>
      <c r="E89" s="7"/>
    </row>
    <row r="90" spans="3:5" s="5" customFormat="1" x14ac:dyDescent="0.2">
      <c r="C90" s="6"/>
      <c r="D90" s="6"/>
      <c r="E90" s="7"/>
    </row>
    <row r="91" spans="3:5" s="5" customFormat="1" x14ac:dyDescent="0.2">
      <c r="C91" s="6"/>
      <c r="D91" s="6"/>
      <c r="E91" s="7"/>
    </row>
    <row r="92" spans="3:5" s="5" customFormat="1" x14ac:dyDescent="0.2">
      <c r="C92" s="6"/>
      <c r="D92" s="6"/>
      <c r="E92" s="7"/>
    </row>
    <row r="93" spans="3:5" s="5" customFormat="1" x14ac:dyDescent="0.2">
      <c r="C93" s="6"/>
      <c r="D93" s="6"/>
      <c r="E93" s="7"/>
    </row>
    <row r="94" spans="3:5" s="5" customFormat="1" x14ac:dyDescent="0.2">
      <c r="C94" s="6"/>
      <c r="D94" s="6"/>
      <c r="E94" s="7"/>
    </row>
    <row r="95" spans="3:5" s="5" customFormat="1" x14ac:dyDescent="0.2">
      <c r="C95" s="6"/>
      <c r="D95" s="6"/>
      <c r="E95" s="7"/>
    </row>
    <row r="96" spans="3:5" s="5" customFormat="1" x14ac:dyDescent="0.2">
      <c r="C96" s="6"/>
      <c r="D96" s="6"/>
      <c r="E96" s="7"/>
    </row>
    <row r="97" spans="3:5" s="5" customFormat="1" x14ac:dyDescent="0.2">
      <c r="C97" s="6"/>
      <c r="D97" s="6"/>
      <c r="E97" s="7"/>
    </row>
    <row r="98" spans="3:5" s="5" customFormat="1" x14ac:dyDescent="0.2">
      <c r="C98" s="6"/>
      <c r="D98" s="6"/>
      <c r="E98" s="7"/>
    </row>
    <row r="99" spans="3:5" s="5" customFormat="1" x14ac:dyDescent="0.2">
      <c r="C99" s="6"/>
      <c r="D99" s="6"/>
      <c r="E99" s="7"/>
    </row>
    <row r="100" spans="3:5" s="5" customFormat="1" x14ac:dyDescent="0.2">
      <c r="C100" s="6"/>
      <c r="D100" s="6"/>
      <c r="E100" s="7"/>
    </row>
    <row r="101" spans="3:5" s="5" customFormat="1" x14ac:dyDescent="0.2">
      <c r="C101" s="6"/>
      <c r="D101" s="6"/>
      <c r="E101" s="7"/>
    </row>
    <row r="102" spans="3:5" s="5" customFormat="1" x14ac:dyDescent="0.2">
      <c r="C102" s="6"/>
      <c r="D102" s="6"/>
      <c r="E102" s="7"/>
    </row>
    <row r="103" spans="3:5" s="5" customFormat="1" x14ac:dyDescent="0.2">
      <c r="C103" s="6"/>
      <c r="D103" s="6"/>
      <c r="E103" s="7"/>
    </row>
    <row r="104" spans="3:5" s="5" customFormat="1" x14ac:dyDescent="0.2">
      <c r="C104" s="6"/>
      <c r="D104" s="6"/>
      <c r="E104" s="7"/>
    </row>
    <row r="105" spans="3:5" s="5" customFormat="1" x14ac:dyDescent="0.2">
      <c r="C105" s="6"/>
      <c r="D105" s="6"/>
      <c r="E105" s="7"/>
    </row>
    <row r="106" spans="3:5" s="5" customFormat="1" x14ac:dyDescent="0.2">
      <c r="C106" s="6"/>
      <c r="D106" s="6"/>
      <c r="E106" s="7"/>
    </row>
    <row r="107" spans="3:5" s="5" customFormat="1" x14ac:dyDescent="0.2">
      <c r="C107" s="6"/>
      <c r="D107" s="6"/>
      <c r="E107" s="7"/>
    </row>
    <row r="108" spans="3:5" s="5" customFormat="1" x14ac:dyDescent="0.2">
      <c r="C108" s="6"/>
      <c r="D108" s="6"/>
      <c r="E108" s="7"/>
    </row>
    <row r="109" spans="3:5" s="5" customFormat="1" x14ac:dyDescent="0.2">
      <c r="C109" s="6"/>
      <c r="D109" s="6"/>
      <c r="E109" s="7"/>
    </row>
    <row r="110" spans="3:5" s="5" customFormat="1" x14ac:dyDescent="0.2">
      <c r="C110" s="6"/>
      <c r="D110" s="6"/>
      <c r="E110" s="7"/>
    </row>
    <row r="111" spans="3:5" s="5" customFormat="1" x14ac:dyDescent="0.2">
      <c r="C111" s="6"/>
      <c r="D111" s="6"/>
      <c r="E111" s="7"/>
    </row>
    <row r="112" spans="3:5" s="5" customFormat="1" x14ac:dyDescent="0.2">
      <c r="C112" s="6"/>
      <c r="D112" s="6"/>
      <c r="E112" s="7"/>
    </row>
    <row r="113" spans="3:5" s="5" customFormat="1" x14ac:dyDescent="0.2">
      <c r="C113" s="6"/>
      <c r="D113" s="6"/>
      <c r="E113" s="7"/>
    </row>
    <row r="114" spans="3:5" s="5" customFormat="1" x14ac:dyDescent="0.2">
      <c r="C114" s="6"/>
      <c r="D114" s="6"/>
      <c r="E114" s="7"/>
    </row>
    <row r="115" spans="3:5" s="5" customFormat="1" x14ac:dyDescent="0.2">
      <c r="C115" s="6"/>
      <c r="D115" s="6"/>
      <c r="E115" s="7"/>
    </row>
    <row r="116" spans="3:5" s="5" customFormat="1" x14ac:dyDescent="0.2">
      <c r="C116" s="6"/>
      <c r="D116" s="6"/>
      <c r="E116" s="7"/>
    </row>
    <row r="117" spans="3:5" s="5" customFormat="1" x14ac:dyDescent="0.2">
      <c r="C117" s="6"/>
      <c r="D117" s="6"/>
      <c r="E117" s="7"/>
    </row>
    <row r="118" spans="3:5" s="5" customFormat="1" x14ac:dyDescent="0.2">
      <c r="C118" s="6"/>
      <c r="D118" s="6"/>
      <c r="E118" s="7"/>
    </row>
    <row r="119" spans="3:5" s="5" customFormat="1" x14ac:dyDescent="0.2">
      <c r="C119" s="6"/>
      <c r="D119" s="6"/>
      <c r="E119" s="7"/>
    </row>
    <row r="120" spans="3:5" s="5" customFormat="1" x14ac:dyDescent="0.2">
      <c r="C120" s="6"/>
      <c r="D120" s="6"/>
      <c r="E120" s="7"/>
    </row>
    <row r="121" spans="3:5" s="5" customFormat="1" x14ac:dyDescent="0.2">
      <c r="C121" s="6"/>
      <c r="D121" s="6"/>
      <c r="E121" s="7"/>
    </row>
    <row r="122" spans="3:5" s="5" customFormat="1" x14ac:dyDescent="0.2">
      <c r="C122" s="6"/>
      <c r="D122" s="6"/>
      <c r="E122" s="7"/>
    </row>
    <row r="123" spans="3:5" s="5" customFormat="1" x14ac:dyDescent="0.2">
      <c r="C123" s="6"/>
      <c r="D123" s="6"/>
      <c r="E123" s="7"/>
    </row>
    <row r="124" spans="3:5" s="5" customFormat="1" x14ac:dyDescent="0.2">
      <c r="C124" s="6"/>
      <c r="D124" s="6"/>
      <c r="E124" s="7"/>
    </row>
    <row r="125" spans="3:5" s="5" customFormat="1" x14ac:dyDescent="0.2">
      <c r="C125" s="6"/>
      <c r="D125" s="6"/>
      <c r="E125" s="7"/>
    </row>
    <row r="126" spans="3:5" s="5" customFormat="1" x14ac:dyDescent="0.2">
      <c r="C126" s="6"/>
      <c r="D126" s="6"/>
      <c r="E126" s="7"/>
    </row>
    <row r="127" spans="3:5" s="5" customFormat="1" x14ac:dyDescent="0.2">
      <c r="C127" s="6"/>
      <c r="D127" s="6"/>
      <c r="E127" s="7"/>
    </row>
    <row r="128" spans="3:5" s="5" customFormat="1" x14ac:dyDescent="0.2">
      <c r="C128" s="6"/>
      <c r="D128" s="6"/>
      <c r="E128" s="7"/>
    </row>
    <row r="129" spans="3:5" s="5" customFormat="1" x14ac:dyDescent="0.2">
      <c r="C129" s="6"/>
      <c r="D129" s="6"/>
      <c r="E129" s="7"/>
    </row>
    <row r="130" spans="3:5" s="5" customFormat="1" x14ac:dyDescent="0.2">
      <c r="C130" s="6"/>
      <c r="D130" s="6"/>
      <c r="E130" s="7"/>
    </row>
  </sheetData>
  <sheetProtection sheet="1" objects="1" scenarios="1"/>
  <phoneticPr fontId="0" type="noConversion"/>
  <conditionalFormatting sqref="E33">
    <cfRule type="cellIs" dxfId="12" priority="1" stopIfTrue="1" operator="lessThan">
      <formula>100</formula>
    </cfRule>
  </conditionalFormatting>
  <conditionalFormatting sqref="C39:E39">
    <cfRule type="expression" dxfId="11" priority="2" stopIfTrue="1">
      <formula>UVLOdesired="Yes"</formula>
    </cfRule>
  </conditionalFormatting>
  <conditionalFormatting sqref="C37:E37">
    <cfRule type="expression" dxfId="10" priority="3" stopIfTrue="1">
      <formula>UVLOdesired="No"</formula>
    </cfRule>
  </conditionalFormatting>
  <conditionalFormatting sqref="E36">
    <cfRule type="expression" dxfId="9" priority="4" stopIfTrue="1">
      <formula>UVLOdesired="Yes"</formula>
    </cfRule>
  </conditionalFormatting>
  <conditionalFormatting sqref="E16">
    <cfRule type="expression" dxfId="8" priority="5" stopIfTrue="1">
      <formula>"UVLOdesired=""yes"""</formula>
    </cfRule>
  </conditionalFormatting>
  <conditionalFormatting sqref="C19:D19">
    <cfRule type="expression" dxfId="7" priority="6" stopIfTrue="1">
      <formula>IsenseMethod="RDSON"</formula>
    </cfRule>
  </conditionalFormatting>
  <conditionalFormatting sqref="D17:D18">
    <cfRule type="expression" dxfId="6" priority="7" stopIfTrue="1">
      <formula>IsenseMethod="R-sense"</formula>
    </cfRule>
  </conditionalFormatting>
  <conditionalFormatting sqref="E19">
    <cfRule type="expression" dxfId="5" priority="8" stopIfTrue="1">
      <formula>IsenseMethod="RDSON"</formula>
    </cfRule>
  </conditionalFormatting>
  <conditionalFormatting sqref="E18">
    <cfRule type="expression" dxfId="4" priority="9" stopIfTrue="1">
      <formula>IsenseMethod="R-sense"</formula>
    </cfRule>
    <cfRule type="cellIs" dxfId="3" priority="10" stopIfTrue="1" operator="lessThan">
      <formula>0</formula>
    </cfRule>
  </conditionalFormatting>
  <conditionalFormatting sqref="C18">
    <cfRule type="expression" dxfId="2" priority="11" stopIfTrue="1">
      <formula>IsenseMethod="R-sense"</formula>
    </cfRule>
  </conditionalFormatting>
  <dataValidations xWindow="244" yWindow="226" count="25">
    <dataValidation type="decimal" allowBlank="1" showInputMessage="1" showErrorMessage="1" errorTitle="High-side MOSFET Gate Charge" error="Gate charge must be a positive number, with a value less than QG at VGS=10V" sqref="E55" xr:uid="{00000000-0002-0000-0000-000000000000}">
      <formula1>0</formula1>
      <formula2>E56</formula2>
    </dataValidation>
    <dataValidation type="decimal" operator="greaterThan" allowBlank="1" showInputMessage="1" showErrorMessage="1" errorTitle="High-side MOSFET Gate Charge" error="QG at VGS=10V must be greater than QG at VGS=4.5V" sqref="E56" xr:uid="{00000000-0002-0000-0000-000001000000}">
      <formula1>E55</formula1>
    </dataValidation>
    <dataValidation type="decimal" operator="greaterThan" allowBlank="1" showInputMessage="1" showErrorMessage="1" errorTitle="Low-side MOSFET Gate Charge" error="QG at VGS=10V must be greater than QG at VGS=4.5V" sqref="E53" xr:uid="{00000000-0002-0000-0000-000002000000}">
      <formula1>E52</formula1>
    </dataValidation>
    <dataValidation type="decimal" allowBlank="1" showInputMessage="1" showErrorMessage="1" errorTitle="Low-side MOSFET Gate Charge" error="Gate charge must be a positive number, with a value less than QG at VGS=10V" sqref="E52" xr:uid="{00000000-0002-0000-0000-000003000000}">
      <formula1>0</formula1>
      <formula2>E53</formula2>
    </dataValidation>
    <dataValidation type="decimal" operator="greaterThan" allowBlank="1" showInputMessage="1" showErrorMessage="1" error="tss should be a positive number" sqref="E72" xr:uid="{00000000-0002-0000-0000-000004000000}">
      <formula1>0</formula1>
    </dataValidation>
    <dataValidation type="decimal" operator="greaterThan" allowBlank="1" showInputMessage="1" showErrorMessage="1" error="Bandwith is a positive number" sqref="E63" xr:uid="{00000000-0002-0000-0000-000005000000}">
      <formula1>0</formula1>
    </dataValidation>
    <dataValidation type="list" allowBlank="1" showErrorMessage="1" error="Use drop down menu to select_x000a_Yes or No" promptTitle="Diode Emulation " prompt="Do you want the regulator to diode emulate?" sqref="E49" xr:uid="{00000000-0002-0000-0000-000006000000}">
      <formula1>YesOrNo</formula1>
    </dataValidation>
    <dataValidation type="decimal" errorStyle="warning" allowBlank="1" showInputMessage="1" showErrorMessage="1" errorTitle="UVLO Range Error" error="VIN Under Voltage Lock Out should be above 6V and below Vin(min)" sqref="E36" xr:uid="{00000000-0002-0000-0000-000007000000}">
      <formula1>6</formula1>
      <formula2>VinMin</formula2>
    </dataValidation>
    <dataValidation type="decimal" allowBlank="1" showInputMessage="1" showErrorMessage="1" errorTitle="UVLO capacitor range error" error="Enter a positive value for capacitance" sqref="E41" xr:uid="{00000000-0002-0000-0000-000008000000}">
      <formula1>0</formula1>
      <formula2>100000</formula2>
    </dataValidation>
    <dataValidation type="decimal" allowBlank="1" showErrorMessage="1" errorTitle="Ruv2 Range error" error="Ruv2 must be larger than 500*VinMax, where VINMax is in volts.  Also recommended Ruv2&lt;1MOhms." prompt="Choose a desired resistor value.  A minimum starting point is Ruv2=500*Vin(max) - where Ruv2 is in ohms.  Larger values result in a smaller &quot;hiccup&quot; duty cycle for a give Cuv, but less accurate UVLO threshold due to the 5uA UVLO pin bias current. " sqref="E37" xr:uid="{00000000-0002-0000-0000-000009000000}">
      <formula1>500*VinMax/1000</formula1>
      <formula2>1000000</formula2>
    </dataValidation>
    <dataValidation type="list" allowBlank="1" showErrorMessage="1" error="Use drop down menu to Select Yes or No" promptTitle="Diode Emulation " prompt="Do you want the regulator to diode emulate?" sqref="E35" xr:uid="{00000000-0002-0000-0000-00000A000000}">
      <formula1>YesOrNo</formula1>
    </dataValidation>
    <dataValidation type="list" allowBlank="1" showErrorMessage="1" errorTitle="Current Sense Method" error="Use drop down menu to select_x000a_ R-sense or RDSON" sqref="E16" xr:uid="{00000000-0002-0000-0000-00000B000000}">
      <formula1>SenseR</formula1>
    </dataValidation>
    <dataValidation type="decimal" allowBlank="1" showInputMessage="1" showErrorMessage="1" errorTitle="Frequency Range Error" error="Switching Frequency should be less than 1000kHz (1MHz)" sqref="E21" xr:uid="{00000000-0002-0000-0000-00000C000000}">
      <formula1>0.1</formula1>
      <formula2>1000</formula2>
    </dataValidation>
    <dataValidation allowBlank="1" showInputMessage="1" showErrorMessage="1" errorTitle="UVLO Range Error" error="VIN Under Voltage Lock Out should be above 6V and less than 100" sqref="E18" xr:uid="{00000000-0002-0000-0000-00000D000000}"/>
    <dataValidation type="decimal" operator="greaterThan" showInputMessage="1" showErrorMessage="1" errorTitle="RDSON  Range Error" error="RDSON should be positive" sqref="E17" xr:uid="{00000000-0002-0000-0000-00000E000000}">
      <formula1>0</formula1>
    </dataValidation>
    <dataValidation type="decimal" operator="greaterThan" allowBlank="1" showInputMessage="1" showErrorMessage="1" errorTitle="Capacitance Error" error="Capacitance should be a positive number" sqref="E24:E25" xr:uid="{00000000-0002-0000-0000-00000F000000}">
      <formula1>0</formula1>
    </dataValidation>
    <dataValidation type="decimal" operator="greaterThan" allowBlank="1" showInputMessage="1" showErrorMessage="1" errorTitle="ESR" error="Resistance should be a positive number" sqref="E27" xr:uid="{00000000-0002-0000-0000-000010000000}">
      <formula1>0</formula1>
    </dataValidation>
    <dataValidation type="decimal" allowBlank="1" showInputMessage="1" showErrorMessage="1" errorTitle="Range Error" error="Current Limit should be a positive number" sqref="E14:E15" xr:uid="{00000000-0002-0000-0000-000011000000}">
      <formula1>0</formula1>
      <formula2>1000</formula2>
    </dataValidation>
    <dataValidation type="decimal" allowBlank="1" showInputMessage="1" showErrorMessage="1" errorTitle="Min Input Voltage Range Error" error="VIN Voltage must be more than 6V and less than Vin(max)" sqref="E5" xr:uid="{00000000-0002-0000-0000-000012000000}">
      <formula1>6</formula1>
      <formula2>VinMax</formula2>
    </dataValidation>
    <dataValidation type="decimal" allowBlank="1" showInputMessage="1" showErrorMessage="1" errorTitle="Max Input Voltage Range Error" error="VIN must be less than 100V and more than Vin(min)" sqref="E6" xr:uid="{00000000-0002-0000-0000-000013000000}">
      <formula1>VinMin</formula1>
      <formula2>100</formula2>
    </dataValidation>
    <dataValidation type="decimal" allowBlank="1" showInputMessage="1" showErrorMessage="1" errorTitle="Ripple Current Error" error="Ripple Current should be between 1% and 95% of Current Limit" sqref="E8" xr:uid="{00000000-0002-0000-0000-000014000000}">
      <formula1>1</formula1>
      <formula2>95</formula2>
    </dataValidation>
    <dataValidation type="decimal" allowBlank="1" showInputMessage="1" showErrorMessage="1" errorTitle="Output Voltage Range Error" error="Allowable regulation voltage must be between 1.216V and 80V" sqref="E4" xr:uid="{00000000-0002-0000-0000-000015000000}">
      <formula1>1.216</formula1>
      <formula2>80</formula2>
    </dataValidation>
    <dataValidation type="decimal" operator="greaterThan" allowBlank="1" showInputMessage="1" showErrorMessage="1" errorTitle="Load Current Error" error="Load current should be a positive nunber" sqref="E7" xr:uid="{00000000-0002-0000-0000-000016000000}">
      <formula1>0</formula1>
    </dataValidation>
    <dataValidation type="decimal" operator="greaterThanOrEqual" allowBlank="1" showInputMessage="1" showErrorMessage="1" errorTitle="Current Limit Error" error="Current Limit Target should be beyond the Max Average Load Current" sqref="E13" xr:uid="{00000000-0002-0000-0000-000017000000}">
      <formula1>0</formula1>
    </dataValidation>
    <dataValidation type="decimal" allowBlank="1" showInputMessage="1" showErrorMessage="1" errorTitle="VCC voltage Error" error="VCC Voltage must be between 0V and 16V" sqref="E9" xr:uid="{00000000-0002-0000-0000-000018000000}">
      <formula1>0</formula1>
      <formula2>16</formula2>
    </dataValidation>
  </dataValidations>
  <pageMargins left="0.5" right="0.5" top="1" bottom="1" header="0.5" footer="0.5"/>
  <pageSetup scale="61" orientation="portrait" r:id="rId1"/>
  <headerFooter alignWithMargins="0">
    <oddHeader>&amp;R&amp;G</oddHeader>
    <oddFooter>&amp;LAuthor: Robert Sheehan
Version 1.2&amp;RCopyright 2008 © National Semiconductor Corporation</oddFooter>
  </headerFooter>
  <drawing r:id="rId2"/>
  <legacyDrawing r:id="rId3"/>
  <legacyDrawingHF r:id="rId4"/>
  <oleObjects>
    <mc:AlternateContent xmlns:mc="http://schemas.openxmlformats.org/markup-compatibility/2006">
      <mc:Choice Requires="x14">
        <oleObject progId="Visio.Drawing.6" shapeId="1228" r:id="rId5">
          <objectPr defaultSize="0" autoPict="0" r:id="rId6">
            <anchor moveWithCells="1">
              <from>
                <xdr:col>5</xdr:col>
                <xdr:colOff>381000</xdr:colOff>
                <xdr:row>34</xdr:row>
                <xdr:rowOff>123825</xdr:rowOff>
              </from>
              <to>
                <xdr:col>12</xdr:col>
                <xdr:colOff>447675</xdr:colOff>
                <xdr:row>62</xdr:row>
                <xdr:rowOff>133350</xdr:rowOff>
              </to>
            </anchor>
          </objectPr>
        </oleObject>
      </mc:Choice>
      <mc:Fallback>
        <oleObject progId="Visio.Drawing.6" shapeId="1228" r:id="rId5"/>
      </mc:Fallback>
    </mc:AlternateContent>
    <mc:AlternateContent xmlns:mc="http://schemas.openxmlformats.org/markup-compatibility/2006">
      <mc:Choice Requires="x14">
        <oleObject progId="Visio.Drawing.6" shapeId="1229" r:id="rId7">
          <objectPr defaultSize="0" autoPict="0" r:id="rId8">
            <anchor moveWithCells="1">
              <from>
                <xdr:col>5</xdr:col>
                <xdr:colOff>371475</xdr:colOff>
                <xdr:row>4</xdr:row>
                <xdr:rowOff>152400</xdr:rowOff>
              </from>
              <to>
                <xdr:col>12</xdr:col>
                <xdr:colOff>438150</xdr:colOff>
                <xdr:row>30</xdr:row>
                <xdr:rowOff>142875</xdr:rowOff>
              </to>
            </anchor>
          </objectPr>
        </oleObject>
      </mc:Choice>
      <mc:Fallback>
        <oleObject progId="Visio.Drawing.6" shapeId="1229" r:id="rId7"/>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9"/>
  <sheetViews>
    <sheetView zoomScaleNormal="100" workbookViewId="0">
      <selection activeCell="O1" sqref="O1"/>
    </sheetView>
  </sheetViews>
  <sheetFormatPr defaultRowHeight="12.75" x14ac:dyDescent="0.2"/>
  <cols>
    <col min="1" max="1" width="19" customWidth="1"/>
    <col min="2" max="2" width="11.42578125" customWidth="1"/>
  </cols>
  <sheetData>
    <row r="1" spans="1:12" ht="13.5" thickBot="1" x14ac:dyDescent="0.25">
      <c r="A1" s="93" t="s">
        <v>103</v>
      </c>
      <c r="B1" s="93"/>
    </row>
    <row r="2" spans="1:12" ht="13.5" thickBot="1" x14ac:dyDescent="0.25">
      <c r="A2" s="57" t="s">
        <v>97</v>
      </c>
      <c r="B2" s="98">
        <v>50</v>
      </c>
    </row>
    <row r="3" spans="1:12" ht="13.5" thickBot="1" x14ac:dyDescent="0.25">
      <c r="A3" s="57" t="s">
        <v>98</v>
      </c>
      <c r="B3" s="99">
        <v>40</v>
      </c>
    </row>
    <row r="5" spans="1:12" s="57" customFormat="1" x14ac:dyDescent="0.2">
      <c r="A5" s="57" t="s">
        <v>99</v>
      </c>
      <c r="B5" s="97">
        <f>VinMin</f>
        <v>36</v>
      </c>
      <c r="C5" s="97">
        <f>VinMin+(VinMax-VinMin)/10</f>
        <v>38.4</v>
      </c>
      <c r="D5" s="97">
        <f>VinMin+2*(VinMax-VinMin)/10</f>
        <v>40.799999999999997</v>
      </c>
      <c r="E5" s="97">
        <f>VinMin+3*(VinMax-VinMin)/10</f>
        <v>43.2</v>
      </c>
      <c r="F5" s="97">
        <f>VinMin+4*(VinMax-VinMin)/10</f>
        <v>45.6</v>
      </c>
      <c r="G5" s="97">
        <f>VinMin+5*(VinMax-VinMin)/10</f>
        <v>48</v>
      </c>
      <c r="H5" s="97">
        <f>VinMin+6*(VinMax-VinMin)/10</f>
        <v>50.4</v>
      </c>
      <c r="I5" s="97">
        <f>VinMin+7*(VinMax-VinMin)/10</f>
        <v>52.8</v>
      </c>
      <c r="J5" s="97">
        <f>VinMin+8*(VinMax-VinMin)/10</f>
        <v>55.2</v>
      </c>
      <c r="K5" s="97">
        <f>VinMin+9*(VinMax-VinMin)/10</f>
        <v>57.6</v>
      </c>
      <c r="L5" s="97">
        <f>VinMin+10*(VinMax-VinMin)/10</f>
        <v>60</v>
      </c>
    </row>
    <row r="6" spans="1:12" x14ac:dyDescent="0.2">
      <c r="A6" s="94" t="s">
        <v>100</v>
      </c>
      <c r="B6" s="95">
        <f t="shared" ref="B6:L6" si="0">(IF(VCCX&lt;4.5,0.006,0.0016))*B5 + ICC*(IF(VCCX&lt;4.5,B5,VCCX))</f>
        <v>0.5477236363636363</v>
      </c>
      <c r="C6" s="95">
        <f t="shared" si="0"/>
        <v>0.58423854545454545</v>
      </c>
      <c r="D6" s="95">
        <f t="shared" si="0"/>
        <v>0.6207534545454545</v>
      </c>
      <c r="E6" s="95">
        <f t="shared" si="0"/>
        <v>0.65726836363636365</v>
      </c>
      <c r="F6" s="95">
        <f t="shared" si="0"/>
        <v>0.6937832727272728</v>
      </c>
      <c r="G6" s="95">
        <f t="shared" si="0"/>
        <v>0.73029818181818185</v>
      </c>
      <c r="H6" s="95">
        <f t="shared" si="0"/>
        <v>0.76681309090909089</v>
      </c>
      <c r="I6" s="95">
        <f t="shared" si="0"/>
        <v>0.80332799999999993</v>
      </c>
      <c r="J6" s="95">
        <f t="shared" si="0"/>
        <v>0.8398429090909092</v>
      </c>
      <c r="K6" s="95">
        <f t="shared" si="0"/>
        <v>0.87635781818181824</v>
      </c>
      <c r="L6" s="95">
        <f t="shared" si="0"/>
        <v>0.91287272727272728</v>
      </c>
    </row>
    <row r="7" spans="1:12" x14ac:dyDescent="0.2">
      <c r="A7" s="94" t="s">
        <v>101</v>
      </c>
      <c r="B7" s="96">
        <f t="shared" ref="B7:L7" si="1">B6*RJA</f>
        <v>21.908945454545453</v>
      </c>
      <c r="C7" s="96">
        <f t="shared" si="1"/>
        <v>23.369541818181819</v>
      </c>
      <c r="D7" s="96">
        <f t="shared" si="1"/>
        <v>24.830138181818178</v>
      </c>
      <c r="E7" s="96">
        <f t="shared" si="1"/>
        <v>26.290734545454548</v>
      </c>
      <c r="F7" s="96">
        <f t="shared" si="1"/>
        <v>27.75133090909091</v>
      </c>
      <c r="G7" s="96">
        <f t="shared" si="1"/>
        <v>29.211927272727273</v>
      </c>
      <c r="H7" s="96">
        <f t="shared" si="1"/>
        <v>30.672523636363636</v>
      </c>
      <c r="I7" s="96">
        <f t="shared" si="1"/>
        <v>32.133119999999998</v>
      </c>
      <c r="J7" s="96">
        <f t="shared" si="1"/>
        <v>33.593716363636368</v>
      </c>
      <c r="K7" s="96">
        <f t="shared" si="1"/>
        <v>35.05431272727273</v>
      </c>
      <c r="L7" s="96">
        <f t="shared" si="1"/>
        <v>36.514909090909093</v>
      </c>
    </row>
    <row r="8" spans="1:12" x14ac:dyDescent="0.2">
      <c r="A8" s="94" t="s">
        <v>102</v>
      </c>
      <c r="B8" s="96">
        <f t="shared" ref="B8:L8" si="2">TA+B6*RJA</f>
        <v>71.90894545454546</v>
      </c>
      <c r="C8" s="96">
        <f t="shared" si="2"/>
        <v>73.369541818181816</v>
      </c>
      <c r="D8" s="96">
        <f t="shared" si="2"/>
        <v>74.830138181818171</v>
      </c>
      <c r="E8" s="96">
        <f t="shared" si="2"/>
        <v>76.290734545454541</v>
      </c>
      <c r="F8" s="96">
        <f t="shared" si="2"/>
        <v>77.75133090909091</v>
      </c>
      <c r="G8" s="96">
        <f t="shared" si="2"/>
        <v>79.21192727272728</v>
      </c>
      <c r="H8" s="96">
        <f t="shared" si="2"/>
        <v>80.672523636363636</v>
      </c>
      <c r="I8" s="96">
        <f t="shared" si="2"/>
        <v>82.133119999999991</v>
      </c>
      <c r="J8" s="96">
        <f t="shared" si="2"/>
        <v>83.593716363636361</v>
      </c>
      <c r="K8" s="96">
        <f t="shared" si="2"/>
        <v>85.05431272727273</v>
      </c>
      <c r="L8" s="96">
        <f t="shared" si="2"/>
        <v>86.5149090909091</v>
      </c>
    </row>
    <row r="9" spans="1:12" x14ac:dyDescent="0.2">
      <c r="B9" s="57"/>
    </row>
  </sheetData>
  <sheetProtection sheet="1" objects="1" scenarios="1"/>
  <phoneticPr fontId="24" type="noConversion"/>
  <conditionalFormatting sqref="B8:L8">
    <cfRule type="cellIs" dxfId="1" priority="1" stopIfTrue="1" operator="greaterThan">
      <formula>125</formula>
    </cfRule>
  </conditionalFormatting>
  <dataValidations count="2">
    <dataValidation type="decimal" errorStyle="warning" allowBlank="1" showInputMessage="1" showErrorMessage="1" errorTitle="Ambient Temperature Check" error="-40C&lt;TA&lt;200C" sqref="B2" xr:uid="{00000000-0002-0000-0100-000000000000}">
      <formula1>-40</formula1>
      <formula2>200</formula2>
    </dataValidation>
    <dataValidation type="decimal" errorStyle="warning" allowBlank="1" showInputMessage="1" showErrorMessage="1" errorTitle="Thermal Resistance Sanity Check" error="Please enter a reasonable RJA_x000a_0&lt;RJA&lt;1000" sqref="B3" xr:uid="{00000000-0002-0000-0100-000001000000}">
      <formula1>0</formula1>
      <formula2>1000</formula2>
    </dataValidation>
  </dataValidations>
  <pageMargins left="0.75" right="0.75" top="1" bottom="1" header="0.5" footer="0.5"/>
  <pageSetup scale="86"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53"/>
  <sheetViews>
    <sheetView topLeftCell="A24" zoomScaleNormal="100" workbookViewId="0">
      <selection activeCell="M1" sqref="M1"/>
    </sheetView>
  </sheetViews>
  <sheetFormatPr defaultRowHeight="12.75" x14ac:dyDescent="0.2"/>
  <cols>
    <col min="1" max="1" width="10.28515625" customWidth="1"/>
    <col min="2" max="2" width="12.28515625" style="57" customWidth="1"/>
    <col min="3" max="3" width="11.28515625" style="57" customWidth="1"/>
    <col min="4" max="4" width="10.42578125" style="57" customWidth="1"/>
    <col min="5" max="5" width="11" style="57" customWidth="1"/>
    <col min="6" max="6" width="11.28515625" style="57" customWidth="1"/>
    <col min="7" max="7" width="11.7109375" style="57" customWidth="1"/>
    <col min="8" max="8" width="11.140625" style="57" customWidth="1"/>
    <col min="9" max="9" width="11.7109375" style="57" customWidth="1"/>
    <col min="10" max="10" width="11.7109375" style="57" bestFit="1" customWidth="1"/>
    <col min="11" max="11" width="10.7109375" style="57" customWidth="1"/>
    <col min="12" max="12" width="9.140625" style="57"/>
    <col min="14" max="14" width="13.7109375" customWidth="1"/>
    <col min="34" max="34" width="9.5703125" customWidth="1"/>
    <col min="35" max="35" width="11.42578125" customWidth="1"/>
  </cols>
  <sheetData>
    <row r="1" spans="1:35" ht="53.25" customHeight="1" x14ac:dyDescent="0.2">
      <c r="A1" s="58" t="s">
        <v>27</v>
      </c>
      <c r="B1" s="58" t="s">
        <v>28</v>
      </c>
      <c r="C1" s="58" t="s">
        <v>29</v>
      </c>
      <c r="D1" s="58" t="s">
        <v>30</v>
      </c>
      <c r="E1" s="58" t="s">
        <v>168</v>
      </c>
      <c r="F1" s="58" t="s">
        <v>135</v>
      </c>
      <c r="G1" s="58" t="s">
        <v>112</v>
      </c>
      <c r="H1" s="58" t="s">
        <v>131</v>
      </c>
      <c r="I1" s="58" t="s">
        <v>136</v>
      </c>
      <c r="J1" s="58" t="s">
        <v>134</v>
      </c>
      <c r="K1" s="58" t="s">
        <v>31</v>
      </c>
      <c r="L1" s="58" t="s">
        <v>32</v>
      </c>
      <c r="N1" s="58" t="s">
        <v>123</v>
      </c>
      <c r="O1" s="108"/>
      <c r="P1" s="108"/>
      <c r="Q1" s="107" t="s">
        <v>132</v>
      </c>
      <c r="R1" s="107" t="s">
        <v>133</v>
      </c>
      <c r="S1" s="105"/>
      <c r="T1" s="105"/>
      <c r="U1" s="105"/>
      <c r="V1" s="105"/>
      <c r="W1" s="105"/>
      <c r="X1" s="105"/>
      <c r="Y1" s="105"/>
      <c r="Z1" s="105"/>
      <c r="AA1" s="105"/>
      <c r="AB1" s="105"/>
      <c r="AC1" s="105"/>
      <c r="AD1" s="105"/>
      <c r="AE1" s="105"/>
      <c r="AF1" s="105"/>
      <c r="AG1" s="106"/>
      <c r="AH1" s="106"/>
      <c r="AI1" s="106"/>
    </row>
    <row r="2" spans="1:35" x14ac:dyDescent="0.2">
      <c r="A2" s="55">
        <f>Fsw/10000000</f>
        <v>1.4999999999999999E-2</v>
      </c>
      <c r="B2" s="55">
        <f t="shared" ref="B2:B23" si="0">2*PI()*f</f>
        <v>9.4247779607693788E-2</v>
      </c>
      <c r="C2" s="100">
        <f t="shared" ref="C2:C23" si="1">20*LOG(Av*SQRT(1+(w/wz)^2)/SQRT(1+(w/wp)^2)/SQRT((1-(w/wn)^2)^2+1/Q^2*(w/wn)^2))</f>
        <v>23.651438372962058</v>
      </c>
      <c r="D2" s="100">
        <f t="shared" ref="D2:D23" si="2">180/PI()*(ATAN(w/wz)-ATAN(w/wp)+IF(w&lt;wn,(-ATAN((1/Q*w/wn)/(1-(w/wn)^2))),(-ATAN((1/Q*w/wn)/(1-(w/wn)^2)))-PI()))</f>
        <v>-1.5443989486419846E-3</v>
      </c>
      <c r="E2" s="100">
        <f t="shared" ref="E2:E23" si="3">20*LOG(Zea)</f>
        <v>111.36220796824338</v>
      </c>
      <c r="F2" s="100">
        <f t="shared" ref="F2:F23" si="4">20*LOG(1/(SQRT((1+SQRT((1/Aol)^2+(w/wbw)^2)*(COS(ATAN(w*Aol/wbw))+Zea/Kfb*COS(ATAN(w*Aol/wbw)+Aea)))^2+(SQRT((1/Aol)^2+(w/wbw)^2)*(SIN(ATAN(w*Aol/wbw))+Zea/Kfb*SIN(ATAN(w*Aol/wbw)+Aea)))^2)))</f>
        <v>-52.837955984747936</v>
      </c>
      <c r="G2" s="100">
        <f>E2+F2</f>
        <v>58.524251983495446</v>
      </c>
      <c r="H2" s="100">
        <f t="shared" ref="H2:H23" si="5">180/PI()*Aea+180</f>
        <v>90.00038606360043</v>
      </c>
      <c r="I2" s="100">
        <f t="shared" ref="I2:I23" si="6">180/PI()*(-ATAN((SQRT((1/Aol)^2+(w/wbw)^2)*(SIN(ATAN(w*Aol/wbw))+Zea/Kfb*SIN(ATAN(w*Aol/wbw)+Aea)))/(1+SQRT((1/Aol)^2+(w/wbw)^2)*(COS(ATAN(w*Aol/wbw))+Zea/Kfb*COS(ATAN(w*Aol/wbw)+Aea)))))</f>
        <v>89.866051239355983</v>
      </c>
      <c r="J2" s="100">
        <f>H2+I2</f>
        <v>179.8664373029564</v>
      </c>
      <c r="K2" s="100">
        <f>C2+G2</f>
        <v>82.175690356457508</v>
      </c>
      <c r="L2" s="100">
        <f>D2+J2</f>
        <v>179.86489290400775</v>
      </c>
      <c r="M2" s="101" t="s">
        <v>109</v>
      </c>
      <c r="N2" s="59">
        <v>10000</v>
      </c>
      <c r="Q2" s="56">
        <f t="shared" ref="Q2:Q23" si="7">SQRT(1+(w/wzea)^2)/(w/wo*SQRT(1+(w/whf)^2))</f>
        <v>369922.20269627136</v>
      </c>
      <c r="R2" s="103">
        <f t="shared" ref="R2:R23" si="8">ATAN(w/wzea)-PI()/2-ATAN(w/whf)</f>
        <v>-1.5707895887139469</v>
      </c>
      <c r="S2" s="105"/>
      <c r="T2" s="105"/>
      <c r="U2" s="105"/>
      <c r="V2" s="105"/>
      <c r="W2" s="105"/>
      <c r="X2" s="105"/>
      <c r="Y2" s="105"/>
      <c r="Z2" s="105"/>
      <c r="AA2" s="105"/>
      <c r="AB2" s="105"/>
      <c r="AC2" s="105"/>
      <c r="AD2" s="105"/>
      <c r="AE2" s="105"/>
      <c r="AF2" s="105"/>
      <c r="AG2" s="105"/>
      <c r="AH2" s="105"/>
      <c r="AI2" s="105"/>
    </row>
    <row r="3" spans="1:35" x14ac:dyDescent="0.2">
      <c r="A3" s="55">
        <f>Fsw/4000000</f>
        <v>3.7499999999999999E-2</v>
      </c>
      <c r="B3" s="55">
        <f t="shared" si="0"/>
        <v>0.23561944901923448</v>
      </c>
      <c r="C3" s="100">
        <f t="shared" si="1"/>
        <v>23.651438356952653</v>
      </c>
      <c r="D3" s="100">
        <f t="shared" si="2"/>
        <v>-3.8609973669431114E-3</v>
      </c>
      <c r="E3" s="100">
        <f t="shared" si="3"/>
        <v>103.40340779586242</v>
      </c>
      <c r="F3" s="100">
        <f t="shared" si="4"/>
        <v>-44.879280409991615</v>
      </c>
      <c r="G3" s="100">
        <f t="shared" ref="G3:G23" si="9">E3+F3</f>
        <v>58.524127385870806</v>
      </c>
      <c r="H3" s="100">
        <f t="shared" si="5"/>
        <v>90.000965159000998</v>
      </c>
      <c r="I3" s="100">
        <f t="shared" si="6"/>
        <v>89.665131300660562</v>
      </c>
      <c r="J3" s="100">
        <f t="shared" ref="J3:J23" si="10">H3+I3</f>
        <v>179.66609645966156</v>
      </c>
      <c r="K3" s="100">
        <f t="shared" ref="K3:K23" si="11">C3+G3</f>
        <v>82.175565742823466</v>
      </c>
      <c r="L3" s="100">
        <f t="shared" ref="L3:L23" si="12">D3+J3</f>
        <v>179.6622354622946</v>
      </c>
      <c r="M3" s="101" t="s">
        <v>111</v>
      </c>
      <c r="N3" s="102">
        <f>_Rfb1/(_Rfb1+_Rfb2)</f>
        <v>8.4375000000000006E-2</v>
      </c>
      <c r="Q3" s="56">
        <f t="shared" si="7"/>
        <v>147968.88109656269</v>
      </c>
      <c r="R3" s="103">
        <f t="shared" si="8"/>
        <v>-1.5707794815925238</v>
      </c>
      <c r="S3" s="105"/>
      <c r="T3" s="105"/>
      <c r="U3" s="105"/>
      <c r="V3" s="105"/>
      <c r="W3" s="105"/>
      <c r="X3" s="105"/>
      <c r="Y3" s="105"/>
      <c r="Z3" s="105"/>
      <c r="AA3" s="105"/>
      <c r="AB3" s="105"/>
      <c r="AC3" s="105"/>
      <c r="AD3" s="105"/>
      <c r="AE3" s="105"/>
      <c r="AF3" s="105"/>
      <c r="AG3" s="105"/>
      <c r="AH3" s="105"/>
      <c r="AI3" s="105"/>
    </row>
    <row r="4" spans="1:35" x14ac:dyDescent="0.2">
      <c r="A4" s="55">
        <f>Fsw/2000000</f>
        <v>7.4999999999999997E-2</v>
      </c>
      <c r="B4" s="55">
        <f t="shared" si="0"/>
        <v>0.47123889803846897</v>
      </c>
      <c r="C4" s="100">
        <f t="shared" si="1"/>
        <v>23.651438299776206</v>
      </c>
      <c r="D4" s="100">
        <f t="shared" si="2"/>
        <v>-7.7219947005872907E-3</v>
      </c>
      <c r="E4" s="100">
        <f t="shared" si="3"/>
        <v>97.382807886367772</v>
      </c>
      <c r="F4" s="100">
        <f t="shared" si="4"/>
        <v>-38.859125462834385</v>
      </c>
      <c r="G4" s="100">
        <f t="shared" si="9"/>
        <v>58.523682423533387</v>
      </c>
      <c r="H4" s="100">
        <f t="shared" si="5"/>
        <v>90.001930318001442</v>
      </c>
      <c r="I4" s="100">
        <f t="shared" si="6"/>
        <v>89.330285472882764</v>
      </c>
      <c r="J4" s="100">
        <f t="shared" si="10"/>
        <v>179.33221579088422</v>
      </c>
      <c r="K4" s="100">
        <f t="shared" si="11"/>
        <v>82.17512072330959</v>
      </c>
      <c r="L4" s="100">
        <f t="shared" si="12"/>
        <v>179.32449379618365</v>
      </c>
      <c r="M4" s="101" t="s">
        <v>107</v>
      </c>
      <c r="N4" s="100">
        <f>_Rfb1*_Rfb2/(_Rfb1+_Rfb2)</f>
        <v>1007.1875</v>
      </c>
      <c r="Q4" s="56">
        <f t="shared" si="7"/>
        <v>73984.440580520866</v>
      </c>
      <c r="R4" s="103">
        <f t="shared" si="8"/>
        <v>-1.570762636390161</v>
      </c>
      <c r="S4" s="105"/>
      <c r="T4" s="105"/>
      <c r="U4" s="105"/>
      <c r="V4" s="105"/>
      <c r="W4" s="105"/>
      <c r="X4" s="105"/>
      <c r="Y4" s="105"/>
      <c r="Z4" s="105"/>
      <c r="AA4" s="105"/>
      <c r="AB4" s="105"/>
      <c r="AC4" s="105"/>
      <c r="AD4" s="105"/>
      <c r="AE4" s="105"/>
      <c r="AF4" s="105"/>
      <c r="AG4" s="105"/>
      <c r="AH4" s="105"/>
      <c r="AI4" s="105"/>
    </row>
    <row r="5" spans="1:35" x14ac:dyDescent="0.2">
      <c r="A5" s="55">
        <f>Fsw/1000000</f>
        <v>0.15</v>
      </c>
      <c r="B5" s="55">
        <f t="shared" si="0"/>
        <v>0.94247779607693793</v>
      </c>
      <c r="C5" s="100">
        <f t="shared" si="1"/>
        <v>23.651438071070427</v>
      </c>
      <c r="D5" s="100">
        <f t="shared" si="2"/>
        <v>-1.5443989134783129E-2</v>
      </c>
      <c r="E5" s="100">
        <f t="shared" si="3"/>
        <v>91.362207988228036</v>
      </c>
      <c r="F5" s="100">
        <f t="shared" si="4"/>
        <v>-32.84030495828442</v>
      </c>
      <c r="G5" s="100">
        <f t="shared" si="9"/>
        <v>58.521903029943616</v>
      </c>
      <c r="H5" s="100">
        <f t="shared" si="5"/>
        <v>90.003860635998322</v>
      </c>
      <c r="I5" s="100">
        <f t="shared" si="6"/>
        <v>88.660753862036358</v>
      </c>
      <c r="J5" s="100">
        <f t="shared" si="10"/>
        <v>178.66461449803467</v>
      </c>
      <c r="K5" s="100">
        <f t="shared" si="11"/>
        <v>82.173341101014046</v>
      </c>
      <c r="L5" s="100">
        <f t="shared" si="12"/>
        <v>178.64917050889989</v>
      </c>
      <c r="M5" s="101" t="s">
        <v>104</v>
      </c>
      <c r="N5" s="59">
        <f>1/(Ccmp*Rcmp)</f>
        <v>13823.007675795088</v>
      </c>
      <c r="Q5" s="56">
        <f t="shared" si="7"/>
        <v>36992.220354739518</v>
      </c>
      <c r="R5" s="103">
        <f t="shared" si="8"/>
        <v>-1.5707289459855047</v>
      </c>
      <c r="S5" s="105"/>
      <c r="T5" s="105"/>
      <c r="U5" s="105"/>
      <c r="V5" s="105"/>
      <c r="W5" s="105"/>
      <c r="X5" s="105"/>
      <c r="Y5" s="105"/>
      <c r="Z5" s="105"/>
      <c r="AA5" s="105"/>
      <c r="AB5" s="105"/>
      <c r="AC5" s="105"/>
      <c r="AD5" s="105"/>
      <c r="AE5" s="105"/>
      <c r="AF5" s="105"/>
      <c r="AG5" s="105"/>
      <c r="AH5" s="105"/>
      <c r="AI5" s="105"/>
    </row>
    <row r="6" spans="1:35" x14ac:dyDescent="0.2">
      <c r="A6" s="55">
        <f>Fsw/400000</f>
        <v>0.375</v>
      </c>
      <c r="B6" s="55">
        <f t="shared" si="0"/>
        <v>2.3561944901923448</v>
      </c>
      <c r="C6" s="100">
        <f t="shared" si="1"/>
        <v>23.651436470130299</v>
      </c>
      <c r="D6" s="100">
        <f t="shared" si="2"/>
        <v>-3.8609968175108637E-2</v>
      </c>
      <c r="E6" s="100">
        <f t="shared" si="3"/>
        <v>83.403407920766526</v>
      </c>
      <c r="F6" s="100">
        <f t="shared" si="4"/>
        <v>-24.893940273814877</v>
      </c>
      <c r="G6" s="100">
        <f t="shared" si="9"/>
        <v>58.509467646951649</v>
      </c>
      <c r="H6" s="100">
        <f t="shared" si="5"/>
        <v>90.009651589916359</v>
      </c>
      <c r="I6" s="100">
        <f t="shared" si="6"/>
        <v>86.655079408097691</v>
      </c>
      <c r="J6" s="100">
        <f t="shared" si="10"/>
        <v>176.66473099801405</v>
      </c>
      <c r="K6" s="100">
        <f t="shared" si="11"/>
        <v>82.160904117081941</v>
      </c>
      <c r="L6" s="100">
        <f t="shared" si="12"/>
        <v>176.62612102983894</v>
      </c>
      <c r="M6" s="101" t="s">
        <v>106</v>
      </c>
      <c r="N6" s="59">
        <f>1/(_Rfb2*(Ccmp+Cchf))</f>
        <v>34864.346230900541</v>
      </c>
      <c r="Q6" s="56">
        <f t="shared" si="7"/>
        <v>14796.888322437249</v>
      </c>
      <c r="R6" s="103">
        <f t="shared" si="8"/>
        <v>-1.5706278747728037</v>
      </c>
      <c r="S6" s="105"/>
      <c r="T6" s="105"/>
      <c r="U6" s="105"/>
      <c r="V6" s="105"/>
      <c r="W6" s="105"/>
      <c r="X6" s="105"/>
      <c r="Y6" s="105"/>
      <c r="Z6" s="105"/>
      <c r="AA6" s="105"/>
      <c r="AB6" s="105"/>
      <c r="AC6" s="105"/>
      <c r="AD6" s="105"/>
      <c r="AE6" s="105"/>
      <c r="AF6" s="105"/>
      <c r="AG6" s="105"/>
      <c r="AH6" s="105"/>
      <c r="AI6" s="105"/>
    </row>
    <row r="7" spans="1:35" x14ac:dyDescent="0.2">
      <c r="A7" s="55">
        <f>Fsw/200000</f>
        <v>0.75</v>
      </c>
      <c r="B7" s="55">
        <f t="shared" si="0"/>
        <v>4.7123889803846897</v>
      </c>
      <c r="C7" s="100">
        <f t="shared" si="1"/>
        <v>23.651430752491823</v>
      </c>
      <c r="D7" s="100">
        <f t="shared" si="2"/>
        <v>-7.7219903051328073E-2</v>
      </c>
      <c r="E7" s="100">
        <f t="shared" si="3"/>
        <v>77.382808385984177</v>
      </c>
      <c r="F7" s="100">
        <f t="shared" si="4"/>
        <v>-18.917464387370874</v>
      </c>
      <c r="G7" s="100">
        <f t="shared" si="9"/>
        <v>58.465343998613307</v>
      </c>
      <c r="H7" s="100">
        <f t="shared" si="5"/>
        <v>90.019303179265222</v>
      </c>
      <c r="I7" s="100">
        <f t="shared" si="6"/>
        <v>83.332800717735523</v>
      </c>
      <c r="J7" s="100">
        <f t="shared" si="10"/>
        <v>173.35210389700075</v>
      </c>
      <c r="K7" s="100">
        <f t="shared" si="11"/>
        <v>82.116774751105126</v>
      </c>
      <c r="L7" s="100">
        <f t="shared" si="12"/>
        <v>173.27488399394943</v>
      </c>
      <c r="M7" s="101" t="s">
        <v>108</v>
      </c>
      <c r="N7" s="59">
        <f>1/(Rth*(Ccmp+Cchf))</f>
        <v>413207.06644030265</v>
      </c>
      <c r="Q7" s="56">
        <f t="shared" si="7"/>
        <v>7398.4444836140465</v>
      </c>
      <c r="R7" s="103">
        <f t="shared" si="8"/>
        <v>-1.5704594227606157</v>
      </c>
      <c r="S7" s="105"/>
      <c r="T7" s="105"/>
      <c r="U7" s="105"/>
      <c r="V7" s="105"/>
      <c r="W7" s="105"/>
      <c r="X7" s="105"/>
      <c r="Y7" s="105"/>
      <c r="Z7" s="105"/>
      <c r="AA7" s="105"/>
      <c r="AB7" s="105"/>
      <c r="AC7" s="105"/>
      <c r="AD7" s="105"/>
      <c r="AE7" s="105"/>
      <c r="AF7" s="105"/>
      <c r="AG7" s="105"/>
      <c r="AH7" s="105"/>
      <c r="AI7" s="105"/>
    </row>
    <row r="8" spans="1:35" x14ac:dyDescent="0.2">
      <c r="A8" s="55">
        <f>Fsw/100000</f>
        <v>1.5</v>
      </c>
      <c r="B8" s="55">
        <f t="shared" si="0"/>
        <v>9.4247779607693793</v>
      </c>
      <c r="C8" s="100">
        <f t="shared" si="1"/>
        <v>23.651407882013121</v>
      </c>
      <c r="D8" s="100">
        <f t="shared" si="2"/>
        <v>-0.15443953971259453</v>
      </c>
      <c r="E8" s="100">
        <f t="shared" si="3"/>
        <v>71.362209986693358</v>
      </c>
      <c r="F8" s="100">
        <f t="shared" si="4"/>
        <v>-13.069009747839688</v>
      </c>
      <c r="G8" s="100">
        <f t="shared" si="9"/>
        <v>58.293200238853672</v>
      </c>
      <c r="H8" s="100">
        <f t="shared" si="5"/>
        <v>90.038606353990318</v>
      </c>
      <c r="I8" s="100">
        <f t="shared" si="6"/>
        <v>76.841387275327619</v>
      </c>
      <c r="J8" s="100">
        <f t="shared" si="10"/>
        <v>166.87999362931794</v>
      </c>
      <c r="K8" s="100">
        <f t="shared" si="11"/>
        <v>81.944608120866789</v>
      </c>
      <c r="L8" s="100">
        <f t="shared" si="12"/>
        <v>166.72555408960534</v>
      </c>
      <c r="M8" s="101" t="s">
        <v>105</v>
      </c>
      <c r="N8" s="59">
        <f>(Cchf+Ccmp)/(Rcmp*Cchf*Ccmp)</f>
        <v>1176613.7053502137</v>
      </c>
      <c r="Q8" s="56">
        <f t="shared" si="7"/>
        <v>3699.2228865977972</v>
      </c>
      <c r="R8" s="103">
        <f t="shared" si="8"/>
        <v>-1.5701225188055752</v>
      </c>
      <c r="S8" s="105"/>
      <c r="T8" s="105"/>
      <c r="U8" s="105"/>
      <c r="V8" s="105"/>
      <c r="W8" s="105"/>
      <c r="X8" s="105"/>
      <c r="Y8" s="105"/>
      <c r="Z8" s="105"/>
      <c r="AA8" s="105"/>
      <c r="AB8" s="105"/>
      <c r="AC8" s="105"/>
      <c r="AD8" s="105"/>
      <c r="AE8" s="105"/>
      <c r="AF8" s="105"/>
      <c r="AG8" s="105"/>
      <c r="AH8" s="105"/>
      <c r="AI8" s="105"/>
    </row>
    <row r="9" spans="1:35" x14ac:dyDescent="0.2">
      <c r="A9" s="55">
        <f>Fsw/40000</f>
        <v>3.75</v>
      </c>
      <c r="B9" s="55">
        <f t="shared" si="0"/>
        <v>23.561944901923447</v>
      </c>
      <c r="C9" s="100">
        <f t="shared" si="1"/>
        <v>23.651247792032418</v>
      </c>
      <c r="D9" s="100">
        <f t="shared" si="2"/>
        <v>-0.38609418757320835</v>
      </c>
      <c r="E9" s="100">
        <f t="shared" si="3"/>
        <v>63.40342041115936</v>
      </c>
      <c r="F9" s="100">
        <f t="shared" si="4"/>
        <v>-6.1552113415733949</v>
      </c>
      <c r="G9" s="100">
        <f t="shared" si="9"/>
        <v>57.248209069585968</v>
      </c>
      <c r="H9" s="100">
        <f t="shared" si="5"/>
        <v>90.096515805523794</v>
      </c>
      <c r="I9" s="100">
        <f t="shared" si="6"/>
        <v>59.694760653428986</v>
      </c>
      <c r="J9" s="100">
        <f t="shared" si="10"/>
        <v>149.79127645895278</v>
      </c>
      <c r="K9" s="100">
        <f t="shared" si="11"/>
        <v>80.89945686161839</v>
      </c>
      <c r="L9" s="100">
        <f t="shared" si="12"/>
        <v>149.40518227137957</v>
      </c>
      <c r="M9" s="101" t="s">
        <v>110</v>
      </c>
      <c r="N9" s="59">
        <f>2*PI()*3000000</f>
        <v>18849555.921538759</v>
      </c>
      <c r="Q9" s="56">
        <f t="shared" si="7"/>
        <v>1479.6909600520271</v>
      </c>
      <c r="R9" s="103">
        <f t="shared" si="8"/>
        <v>-1.5691118082082918</v>
      </c>
      <c r="S9" s="105"/>
      <c r="T9" s="105"/>
      <c r="U9" s="105"/>
      <c r="V9" s="105"/>
      <c r="W9" s="105"/>
      <c r="X9" s="105"/>
      <c r="Y9" s="105"/>
      <c r="Z9" s="105"/>
      <c r="AA9" s="105"/>
      <c r="AB9" s="105"/>
      <c r="AC9" s="105"/>
      <c r="AD9" s="105"/>
      <c r="AE9" s="105"/>
      <c r="AF9" s="105"/>
      <c r="AG9" s="105"/>
      <c r="AH9" s="105"/>
      <c r="AI9" s="105"/>
    </row>
    <row r="10" spans="1:35" x14ac:dyDescent="0.2">
      <c r="A10" s="55">
        <f>Fsw/20000</f>
        <v>7.5</v>
      </c>
      <c r="B10" s="55">
        <f t="shared" si="0"/>
        <v>47.123889803846893</v>
      </c>
      <c r="C10" s="100">
        <f t="shared" si="1"/>
        <v>23.65067609024161</v>
      </c>
      <c r="D10" s="100">
        <f t="shared" si="2"/>
        <v>-0.77215508059544713</v>
      </c>
      <c r="E10" s="100">
        <f t="shared" si="3"/>
        <v>57.382858347335571</v>
      </c>
      <c r="F10" s="100">
        <f t="shared" si="4"/>
        <v>-2.5990707880907822</v>
      </c>
      <c r="G10" s="100">
        <f t="shared" si="9"/>
        <v>54.783787559244786</v>
      </c>
      <c r="H10" s="100">
        <f t="shared" si="5"/>
        <v>90.193031043537104</v>
      </c>
      <c r="I10" s="100">
        <f t="shared" si="6"/>
        <v>40.544079120462726</v>
      </c>
      <c r="J10" s="100">
        <f t="shared" si="10"/>
        <v>130.73711016399983</v>
      </c>
      <c r="K10" s="100">
        <f t="shared" si="11"/>
        <v>78.434463649486389</v>
      </c>
      <c r="L10" s="100">
        <f t="shared" si="12"/>
        <v>129.96495508340439</v>
      </c>
      <c r="M10" s="101"/>
      <c r="N10" s="57"/>
      <c r="Q10" s="56">
        <f t="shared" si="7"/>
        <v>739.84870396863766</v>
      </c>
      <c r="R10" s="103">
        <f t="shared" si="8"/>
        <v>-1.5674272995266136</v>
      </c>
      <c r="S10" s="105"/>
      <c r="T10" s="105"/>
      <c r="U10" s="105"/>
      <c r="V10" s="105"/>
      <c r="W10" s="105"/>
      <c r="X10" s="105"/>
      <c r="Y10" s="105"/>
      <c r="Z10" s="105"/>
      <c r="AA10" s="105"/>
      <c r="AB10" s="105"/>
      <c r="AC10" s="105"/>
      <c r="AD10" s="105"/>
      <c r="AE10" s="105"/>
      <c r="AF10" s="105"/>
      <c r="AG10" s="105"/>
      <c r="AH10" s="105"/>
      <c r="AI10" s="105"/>
    </row>
    <row r="11" spans="1:35" x14ac:dyDescent="0.2">
      <c r="A11" s="55">
        <f>Fsw/10000</f>
        <v>15</v>
      </c>
      <c r="B11" s="55">
        <f t="shared" si="0"/>
        <v>94.247779607693786</v>
      </c>
      <c r="C11" s="100">
        <f t="shared" si="1"/>
        <v>23.648390034922045</v>
      </c>
      <c r="D11" s="100">
        <f t="shared" si="2"/>
        <v>-1.5440439098966587</v>
      </c>
      <c r="E11" s="100">
        <f t="shared" si="3"/>
        <v>51.362409828579842</v>
      </c>
      <c r="F11" s="100">
        <f t="shared" si="4"/>
        <v>-0.94351863097517152</v>
      </c>
      <c r="G11" s="100">
        <f t="shared" si="9"/>
        <v>50.418891197604673</v>
      </c>
      <c r="H11" s="100">
        <f t="shared" si="5"/>
        <v>90.386057547108933</v>
      </c>
      <c r="I11" s="100">
        <f t="shared" si="6"/>
        <v>23.151283887134131</v>
      </c>
      <c r="J11" s="100">
        <f t="shared" si="10"/>
        <v>113.53734143424306</v>
      </c>
      <c r="K11" s="100">
        <f t="shared" si="11"/>
        <v>74.06728123252671</v>
      </c>
      <c r="L11" s="100">
        <f t="shared" si="12"/>
        <v>111.9932975243464</v>
      </c>
      <c r="M11" s="101" t="s">
        <v>115</v>
      </c>
      <c r="N11" s="57">
        <f>(VinMin+VinMax)/2</f>
        <v>48</v>
      </c>
      <c r="O11" s="101"/>
      <c r="P11" s="57"/>
      <c r="Q11" s="56">
        <f t="shared" si="7"/>
        <v>369.9307997992874</v>
      </c>
      <c r="R11" s="103">
        <f t="shared" si="8"/>
        <v>-1.5640583514956725</v>
      </c>
      <c r="S11" s="105"/>
      <c r="T11" s="105"/>
      <c r="U11" s="105"/>
      <c r="V11" s="105"/>
      <c r="W11" s="105"/>
      <c r="X11" s="105"/>
      <c r="Y11" s="105"/>
      <c r="Z11" s="105"/>
      <c r="AA11" s="105"/>
      <c r="AB11" s="105"/>
      <c r="AC11" s="105"/>
      <c r="AD11" s="105"/>
      <c r="AE11" s="105"/>
      <c r="AF11" s="105"/>
      <c r="AG11" s="105"/>
      <c r="AH11" s="105"/>
      <c r="AI11" s="105"/>
    </row>
    <row r="12" spans="1:35" x14ac:dyDescent="0.2">
      <c r="A12" s="55">
        <f>Fsw/4000</f>
        <v>37.5</v>
      </c>
      <c r="B12" s="55">
        <f t="shared" si="0"/>
        <v>235.61944901923448</v>
      </c>
      <c r="C12" s="100">
        <f t="shared" si="1"/>
        <v>23.632421233078176</v>
      </c>
      <c r="D12" s="100">
        <f t="shared" si="2"/>
        <v>-3.8554621134100113</v>
      </c>
      <c r="E12" s="100">
        <f t="shared" si="3"/>
        <v>43.404669269018605</v>
      </c>
      <c r="F12" s="100">
        <f t="shared" si="4"/>
        <v>-0.33904483644245709</v>
      </c>
      <c r="G12" s="100">
        <f t="shared" si="9"/>
        <v>43.065624432576151</v>
      </c>
      <c r="H12" s="100">
        <f t="shared" si="5"/>
        <v>90.965064431673696</v>
      </c>
      <c r="I12" s="100">
        <f t="shared" si="6"/>
        <v>9.6884348150015089</v>
      </c>
      <c r="J12" s="100">
        <f t="shared" si="10"/>
        <v>100.65349924667521</v>
      </c>
      <c r="K12" s="100">
        <f t="shared" si="11"/>
        <v>66.69804566565432</v>
      </c>
      <c r="L12" s="100">
        <f t="shared" si="12"/>
        <v>96.798037133265197</v>
      </c>
      <c r="M12" s="101" t="s">
        <v>116</v>
      </c>
      <c r="N12" s="102">
        <f>Vout/Vin</f>
        <v>0.3</v>
      </c>
      <c r="O12" s="101"/>
      <c r="P12" s="57"/>
      <c r="Q12" s="56">
        <f t="shared" si="7"/>
        <v>147.99037254238414</v>
      </c>
      <c r="R12" s="103">
        <f t="shared" si="8"/>
        <v>-1.5539527749683026</v>
      </c>
      <c r="S12" s="105"/>
      <c r="T12" s="105"/>
      <c r="U12" s="105"/>
      <c r="V12" s="105"/>
      <c r="W12" s="105"/>
      <c r="X12" s="105"/>
      <c r="Y12" s="105"/>
      <c r="Z12" s="105"/>
      <c r="AA12" s="105"/>
      <c r="AB12" s="105"/>
      <c r="AC12" s="105"/>
      <c r="AD12" s="105"/>
      <c r="AE12" s="105"/>
      <c r="AF12" s="105"/>
      <c r="AG12" s="105"/>
      <c r="AH12" s="105"/>
      <c r="AI12" s="105"/>
    </row>
    <row r="13" spans="1:35" x14ac:dyDescent="0.2">
      <c r="A13" s="55">
        <f>Fsw/2000</f>
        <v>75</v>
      </c>
      <c r="B13" s="55">
        <f t="shared" si="0"/>
        <v>471.23889803846896</v>
      </c>
      <c r="C13" s="100">
        <f t="shared" si="1"/>
        <v>23.575864106766669</v>
      </c>
      <c r="D13" s="100">
        <f t="shared" si="2"/>
        <v>-7.6780578654241323</v>
      </c>
      <c r="E13" s="100">
        <f t="shared" si="3"/>
        <v>37.387851581388354</v>
      </c>
      <c r="F13" s="100">
        <f t="shared" si="4"/>
        <v>-0.24539399797978148</v>
      </c>
      <c r="G13" s="100">
        <f t="shared" si="9"/>
        <v>37.142457583408572</v>
      </c>
      <c r="H13" s="100">
        <f t="shared" si="5"/>
        <v>91.929561842144082</v>
      </c>
      <c r="I13" s="100">
        <f t="shared" si="6"/>
        <v>4.8473612423972821</v>
      </c>
      <c r="J13" s="100">
        <f t="shared" si="10"/>
        <v>96.776923084541366</v>
      </c>
      <c r="K13" s="100">
        <f t="shared" si="11"/>
        <v>60.718321690175244</v>
      </c>
      <c r="L13" s="100">
        <f t="shared" si="12"/>
        <v>89.098865219117229</v>
      </c>
      <c r="M13" s="101" t="s">
        <v>120</v>
      </c>
      <c r="N13" s="102">
        <f>A*Rs</f>
        <v>0.21468926553672316</v>
      </c>
      <c r="O13" s="101"/>
      <c r="P13" s="57"/>
      <c r="Q13" s="56">
        <f t="shared" si="7"/>
        <v>74.027414107966592</v>
      </c>
      <c r="R13" s="103">
        <f t="shared" si="8"/>
        <v>-1.5371191195286353</v>
      </c>
      <c r="S13" s="105"/>
      <c r="T13" s="105"/>
      <c r="U13" s="105"/>
      <c r="V13" s="105"/>
      <c r="W13" s="105"/>
      <c r="X13" s="105"/>
      <c r="Y13" s="105"/>
      <c r="Z13" s="105"/>
      <c r="AA13" s="105"/>
      <c r="AB13" s="105"/>
      <c r="AC13" s="105"/>
      <c r="AD13" s="105"/>
      <c r="AE13" s="105"/>
      <c r="AF13" s="105"/>
      <c r="AG13" s="105"/>
      <c r="AH13" s="105"/>
      <c r="AI13" s="105"/>
    </row>
    <row r="14" spans="1:35" x14ac:dyDescent="0.2">
      <c r="A14" s="55">
        <f>Fsw/1000</f>
        <v>150</v>
      </c>
      <c r="B14" s="55">
        <f t="shared" si="0"/>
        <v>942.47779607693792</v>
      </c>
      <c r="C14" s="100">
        <f t="shared" si="1"/>
        <v>23.356721042898229</v>
      </c>
      <c r="D14" s="100">
        <f t="shared" si="2"/>
        <v>-15.10304887239683</v>
      </c>
      <c r="E14" s="100">
        <f t="shared" si="3"/>
        <v>31.382347708437763</v>
      </c>
      <c r="F14" s="100">
        <f t="shared" si="4"/>
        <v>-0.22167607964635269</v>
      </c>
      <c r="G14" s="100">
        <f t="shared" si="9"/>
        <v>31.160671628791409</v>
      </c>
      <c r="H14" s="100">
        <f t="shared" si="5"/>
        <v>93.854599335232464</v>
      </c>
      <c r="I14" s="100">
        <f t="shared" si="6"/>
        <v>2.3642120072184909</v>
      </c>
      <c r="J14" s="100">
        <f t="shared" si="10"/>
        <v>96.218811342450948</v>
      </c>
      <c r="K14" s="100">
        <f t="shared" si="11"/>
        <v>54.517392671689635</v>
      </c>
      <c r="L14" s="100">
        <f t="shared" si="12"/>
        <v>81.115762470054122</v>
      </c>
      <c r="M14" s="101" t="s">
        <v>117</v>
      </c>
      <c r="N14" s="102">
        <f>gm/(Cramp*Fsw)</f>
        <v>4.4138418079096048E-2</v>
      </c>
      <c r="O14" s="101" t="s">
        <v>127</v>
      </c>
      <c r="P14" s="59">
        <f>((Vin-Vout)*Ksl+Vsl)*Fsw</f>
        <v>288568.45321364934</v>
      </c>
      <c r="Q14" s="56">
        <f t="shared" si="7"/>
        <v>37.078092658773095</v>
      </c>
      <c r="R14" s="103">
        <f t="shared" si="8"/>
        <v>-1.5035208770499053</v>
      </c>
      <c r="S14" s="105"/>
      <c r="T14" s="105"/>
      <c r="U14" s="105"/>
      <c r="V14" s="105"/>
      <c r="W14" s="105"/>
      <c r="X14" s="105"/>
      <c r="Y14" s="105"/>
      <c r="Z14" s="105"/>
      <c r="AA14" s="105"/>
      <c r="AB14" s="105"/>
      <c r="AC14" s="105"/>
      <c r="AD14" s="105"/>
      <c r="AE14" s="105"/>
      <c r="AF14" s="105"/>
      <c r="AG14" s="105"/>
      <c r="AH14" s="105"/>
      <c r="AI14" s="105"/>
    </row>
    <row r="15" spans="1:35" x14ac:dyDescent="0.2">
      <c r="A15" s="55">
        <f>Fsw/400</f>
        <v>375</v>
      </c>
      <c r="B15" s="55">
        <f t="shared" si="0"/>
        <v>2356.1944901923448</v>
      </c>
      <c r="C15" s="100">
        <f t="shared" si="1"/>
        <v>22.071125739372846</v>
      </c>
      <c r="D15" s="100">
        <f t="shared" si="2"/>
        <v>-34.178471827396656</v>
      </c>
      <c r="E15" s="100">
        <f t="shared" si="3"/>
        <v>23.527775204271325</v>
      </c>
      <c r="F15" s="100">
        <f t="shared" si="4"/>
        <v>-0.21511065489294903</v>
      </c>
      <c r="G15" s="100">
        <f t="shared" si="9"/>
        <v>23.312664549378376</v>
      </c>
      <c r="H15" s="100">
        <f t="shared" si="5"/>
        <v>99.558619543358205</v>
      </c>
      <c r="I15" s="100">
        <f t="shared" si="6"/>
        <v>0.76718783038479199</v>
      </c>
      <c r="J15" s="100">
        <f t="shared" si="10"/>
        <v>100.325807373743</v>
      </c>
      <c r="K15" s="100">
        <f t="shared" si="11"/>
        <v>45.383790288751221</v>
      </c>
      <c r="L15" s="100">
        <f t="shared" si="12"/>
        <v>66.147335546346341</v>
      </c>
      <c r="M15" s="101" t="s">
        <v>118</v>
      </c>
      <c r="N15" s="102">
        <f>IF(Vout&gt;7.5, (Ios+VCC/Rramp)/(Cramp*Fsw), Ios/(Cramp*Fsw))</f>
        <v>0.4407388406333686</v>
      </c>
      <c r="O15" s="101" t="s">
        <v>128</v>
      </c>
      <c r="P15" s="59">
        <f>Vin*Ri/L</f>
        <v>211864.40677966102</v>
      </c>
      <c r="Q15" s="56">
        <f t="shared" si="7"/>
        <v>15.010278846183976</v>
      </c>
      <c r="R15" s="103">
        <f t="shared" si="8"/>
        <v>-1.4039669438178191</v>
      </c>
      <c r="S15" s="105"/>
      <c r="T15" s="105"/>
      <c r="U15" s="105"/>
      <c r="V15" s="105"/>
      <c r="W15" s="105"/>
      <c r="X15" s="105"/>
      <c r="Y15" s="105"/>
      <c r="Z15" s="105"/>
      <c r="AA15" s="105"/>
      <c r="AB15" s="105"/>
      <c r="AC15" s="105"/>
      <c r="AD15" s="105"/>
      <c r="AE15" s="105"/>
      <c r="AF15" s="105"/>
      <c r="AG15" s="105"/>
      <c r="AH15" s="105"/>
      <c r="AI15" s="105"/>
    </row>
    <row r="16" spans="1:35" x14ac:dyDescent="0.2">
      <c r="A16" s="55">
        <f>Fsw/200</f>
        <v>750</v>
      </c>
      <c r="B16" s="55">
        <f t="shared" si="0"/>
        <v>4712.3889803846896</v>
      </c>
      <c r="C16" s="100">
        <f t="shared" si="1"/>
        <v>19.248190720514089</v>
      </c>
      <c r="D16" s="100">
        <f t="shared" si="2"/>
        <v>-54.270813894993232</v>
      </c>
      <c r="E16" s="100">
        <f t="shared" si="3"/>
        <v>17.860232358534518</v>
      </c>
      <c r="F16" s="100">
        <f t="shared" si="4"/>
        <v>-0.21452508643238125</v>
      </c>
      <c r="G16" s="100">
        <f t="shared" si="9"/>
        <v>17.645707272102136</v>
      </c>
      <c r="H16" s="100">
        <f t="shared" si="5"/>
        <v>108.59523916034284</v>
      </c>
      <c r="I16" s="100">
        <f t="shared" si="6"/>
        <v>6.4008609738607614E-2</v>
      </c>
      <c r="J16" s="100">
        <f t="shared" si="10"/>
        <v>108.65924777008145</v>
      </c>
      <c r="K16" s="100">
        <f t="shared" si="11"/>
        <v>36.893897992616225</v>
      </c>
      <c r="L16" s="100">
        <f t="shared" si="12"/>
        <v>54.388433875088218</v>
      </c>
      <c r="M16" s="101" t="s">
        <v>119</v>
      </c>
      <c r="N16" s="56">
        <f>1/((D-0.5)*Ri/(L*Fsw)+(1-2*D)*Ksl+Vsl/Vin)</f>
        <v>47.727448014999311</v>
      </c>
      <c r="O16" s="101" t="s">
        <v>129</v>
      </c>
      <c r="P16" s="59">
        <f>PI()*Fsw</f>
        <v>471238.89803846896</v>
      </c>
      <c r="Q16" s="56">
        <f t="shared" si="7"/>
        <v>7.8164871440045642</v>
      </c>
      <c r="R16" s="103">
        <f t="shared" si="8"/>
        <v>-1.2462481782511281</v>
      </c>
      <c r="S16" s="105"/>
      <c r="T16" s="105"/>
      <c r="U16" s="105"/>
      <c r="V16" s="105"/>
      <c r="W16" s="105"/>
      <c r="X16" s="105"/>
      <c r="Y16" s="105"/>
      <c r="Z16" s="105"/>
      <c r="AA16" s="105"/>
      <c r="AB16" s="105"/>
      <c r="AC16" s="105"/>
      <c r="AD16" s="105"/>
      <c r="AE16" s="105"/>
      <c r="AF16" s="105"/>
      <c r="AG16" s="105"/>
      <c r="AH16" s="105"/>
      <c r="AI16" s="105"/>
    </row>
    <row r="17" spans="1:35" x14ac:dyDescent="0.2">
      <c r="A17" s="55">
        <f>Fsw/100</f>
        <v>1500</v>
      </c>
      <c r="B17" s="55">
        <f t="shared" si="0"/>
        <v>9424.7779607693792</v>
      </c>
      <c r="C17" s="100">
        <f t="shared" si="1"/>
        <v>14.601015425909733</v>
      </c>
      <c r="D17" s="100">
        <f t="shared" si="2"/>
        <v>-71.958650568898406</v>
      </c>
      <c r="E17" s="100">
        <f t="shared" si="3"/>
        <v>13.019938062551022</v>
      </c>
      <c r="F17" s="100">
        <f t="shared" si="4"/>
        <v>-0.21575789747679072</v>
      </c>
      <c r="G17" s="100">
        <f t="shared" si="9"/>
        <v>12.80418016507423</v>
      </c>
      <c r="H17" s="100">
        <f t="shared" si="5"/>
        <v>123.82794262269587</v>
      </c>
      <c r="I17" s="100">
        <f t="shared" si="6"/>
        <v>-0.60708313981459783</v>
      </c>
      <c r="J17" s="100">
        <f t="shared" si="10"/>
        <v>123.22085948288128</v>
      </c>
      <c r="K17" s="100">
        <f t="shared" si="11"/>
        <v>27.405195590983965</v>
      </c>
      <c r="L17" s="100">
        <f t="shared" si="12"/>
        <v>51.262208913982874</v>
      </c>
      <c r="M17" s="101" t="s">
        <v>121</v>
      </c>
      <c r="N17" s="103">
        <f>1+Rout/(Km*Ri)</f>
        <v>1.468449407347648</v>
      </c>
      <c r="O17" s="101" t="s">
        <v>130</v>
      </c>
      <c r="P17" s="102">
        <f>1/(PI()*(Se/Sap-0.5))</f>
        <v>0.36925054732280815</v>
      </c>
      <c r="Q17" s="56">
        <f t="shared" si="7"/>
        <v>4.4771011162819292</v>
      </c>
      <c r="R17" s="103">
        <f t="shared" si="8"/>
        <v>-0.98038734885312773</v>
      </c>
      <c r="S17" s="105"/>
      <c r="T17" s="105"/>
      <c r="U17" s="105"/>
      <c r="V17" s="105"/>
      <c r="W17" s="105"/>
      <c r="X17" s="105"/>
      <c r="Y17" s="105"/>
      <c r="Z17" s="105"/>
      <c r="AA17" s="105"/>
      <c r="AB17" s="105"/>
      <c r="AC17" s="105"/>
      <c r="AD17" s="105"/>
      <c r="AE17" s="105"/>
      <c r="AF17" s="105"/>
      <c r="AG17" s="105"/>
      <c r="AH17" s="105"/>
      <c r="AI17" s="105"/>
    </row>
    <row r="18" spans="1:35" x14ac:dyDescent="0.2">
      <c r="A18" s="55">
        <f>Fsw/40</f>
        <v>3750</v>
      </c>
      <c r="B18" s="55">
        <f t="shared" si="0"/>
        <v>23561.944901923449</v>
      </c>
      <c r="C18" s="100">
        <f t="shared" si="1"/>
        <v>7.0759434618583779</v>
      </c>
      <c r="D18" s="100">
        <f t="shared" si="2"/>
        <v>-87.984284023487746</v>
      </c>
      <c r="E18" s="100">
        <f t="shared" si="3"/>
        <v>9.3184054332473956</v>
      </c>
      <c r="F18" s="100">
        <f t="shared" si="4"/>
        <v>-0.2259717420504298</v>
      </c>
      <c r="G18" s="100">
        <f t="shared" si="9"/>
        <v>9.0924336911969661</v>
      </c>
      <c r="H18" s="100">
        <f t="shared" si="5"/>
        <v>148.45406519222797</v>
      </c>
      <c r="I18" s="100">
        <f t="shared" si="6"/>
        <v>-2.0295999059570389</v>
      </c>
      <c r="J18" s="100">
        <f t="shared" si="10"/>
        <v>146.42446528627093</v>
      </c>
      <c r="K18" s="100">
        <f t="shared" si="11"/>
        <v>16.168377153055346</v>
      </c>
      <c r="L18" s="100">
        <f t="shared" si="12"/>
        <v>58.440181262783184</v>
      </c>
      <c r="M18" s="101" t="s">
        <v>122</v>
      </c>
      <c r="N18" s="103">
        <f>Gmod</f>
        <v>4.6578947368421053</v>
      </c>
      <c r="Q18" s="56">
        <f t="shared" si="7"/>
        <v>2.9236156074738804</v>
      </c>
      <c r="R18" s="103">
        <f t="shared" si="8"/>
        <v>-0.55058042801510609</v>
      </c>
      <c r="S18" s="105"/>
      <c r="T18" s="105"/>
      <c r="U18" s="105"/>
      <c r="V18" s="105"/>
      <c r="W18" s="105"/>
      <c r="X18" s="105"/>
      <c r="Y18" s="105"/>
      <c r="Z18" s="105"/>
      <c r="AA18" s="105"/>
      <c r="AB18" s="105"/>
      <c r="AC18" s="105"/>
      <c r="AD18" s="105"/>
      <c r="AE18" s="105"/>
      <c r="AF18" s="105"/>
      <c r="AG18" s="105"/>
      <c r="AH18" s="105"/>
      <c r="AI18" s="105"/>
    </row>
    <row r="19" spans="1:35" x14ac:dyDescent="0.2">
      <c r="A19" s="55">
        <f>Fsw/20</f>
        <v>7500</v>
      </c>
      <c r="B19" s="55">
        <f t="shared" si="0"/>
        <v>47123.889803846898</v>
      </c>
      <c r="C19" s="100">
        <f t="shared" si="1"/>
        <v>0.9653412112651395</v>
      </c>
      <c r="D19" s="100">
        <f t="shared" si="2"/>
        <v>-98.66152909855002</v>
      </c>
      <c r="E19" s="100">
        <f t="shared" si="3"/>
        <v>8.387094851889783</v>
      </c>
      <c r="F19" s="100">
        <f t="shared" si="4"/>
        <v>-0.26242535525328314</v>
      </c>
      <c r="G19" s="100">
        <f t="shared" si="9"/>
        <v>8.1246694966364998</v>
      </c>
      <c r="H19" s="100">
        <f t="shared" si="5"/>
        <v>161.35833336418273</v>
      </c>
      <c r="I19" s="100">
        <f t="shared" si="6"/>
        <v>-4.1863911678487984</v>
      </c>
      <c r="J19" s="100">
        <f t="shared" si="10"/>
        <v>157.17194219633393</v>
      </c>
      <c r="K19" s="100">
        <f t="shared" si="11"/>
        <v>9.090010707901639</v>
      </c>
      <c r="L19" s="100">
        <f t="shared" si="12"/>
        <v>58.510413097783911</v>
      </c>
      <c r="M19" s="101" t="s">
        <v>126</v>
      </c>
      <c r="N19" s="103">
        <f>Rout/(Ri*Kd)</f>
        <v>15.225512452094296</v>
      </c>
      <c r="Q19" s="56">
        <f t="shared" si="7"/>
        <v>2.6263629464039555</v>
      </c>
      <c r="R19" s="103">
        <f t="shared" si="8"/>
        <v>-0.32535846085418602</v>
      </c>
      <c r="S19" s="105"/>
      <c r="T19" s="105"/>
      <c r="U19" s="105"/>
      <c r="V19" s="105"/>
      <c r="W19" s="105"/>
      <c r="X19" s="105"/>
      <c r="Y19" s="105"/>
      <c r="Z19" s="105"/>
      <c r="AA19" s="105"/>
      <c r="AB19" s="105"/>
      <c r="AC19" s="105"/>
      <c r="AD19" s="105"/>
      <c r="AE19" s="105"/>
      <c r="AF19" s="105"/>
      <c r="AG19" s="105"/>
      <c r="AH19" s="105"/>
      <c r="AI19" s="105"/>
    </row>
    <row r="20" spans="1:35" x14ac:dyDescent="0.2">
      <c r="A20" s="55">
        <f>Fsw/10</f>
        <v>15000</v>
      </c>
      <c r="B20" s="55">
        <f t="shared" si="0"/>
        <v>94247.779607693796</v>
      </c>
      <c r="C20" s="100">
        <f t="shared" si="1"/>
        <v>-5.6350030314350565</v>
      </c>
      <c r="D20" s="100">
        <f t="shared" si="2"/>
        <v>-112.63652997150839</v>
      </c>
      <c r="E20" s="100">
        <f t="shared" si="3"/>
        <v>8.1002345122388633</v>
      </c>
      <c r="F20" s="100">
        <f t="shared" si="4"/>
        <v>-0.40444951276408897</v>
      </c>
      <c r="G20" s="100">
        <f t="shared" si="9"/>
        <v>7.6957849994747747</v>
      </c>
      <c r="H20" s="100">
        <f t="shared" si="5"/>
        <v>167.07644461921359</v>
      </c>
      <c r="I20" s="100">
        <f t="shared" si="6"/>
        <v>-8.2920098072772319</v>
      </c>
      <c r="J20" s="100">
        <f t="shared" si="10"/>
        <v>158.78443481193636</v>
      </c>
      <c r="K20" s="100">
        <f t="shared" si="11"/>
        <v>2.0607819680397181</v>
      </c>
      <c r="L20" s="100">
        <f t="shared" si="12"/>
        <v>46.147904840427969</v>
      </c>
      <c r="M20" s="101" t="s">
        <v>124</v>
      </c>
      <c r="N20" s="59">
        <f>Kd/(Cout*Rout)</f>
        <v>3557.2902309778292</v>
      </c>
      <c r="Q20" s="56">
        <f t="shared" si="7"/>
        <v>2.5410413107546717</v>
      </c>
      <c r="R20" s="103">
        <f t="shared" si="8"/>
        <v>-0.22555859245855239</v>
      </c>
      <c r="S20" s="105"/>
      <c r="T20" s="105"/>
      <c r="U20" s="105"/>
      <c r="V20" s="105"/>
      <c r="W20" s="105"/>
      <c r="X20" s="105"/>
      <c r="Y20" s="105"/>
      <c r="Z20" s="105"/>
      <c r="AA20" s="105"/>
      <c r="AB20" s="105"/>
      <c r="AC20" s="105"/>
      <c r="AD20" s="105"/>
      <c r="AE20" s="105"/>
      <c r="AF20" s="105"/>
      <c r="AG20" s="105"/>
      <c r="AH20" s="105"/>
      <c r="AI20" s="105"/>
    </row>
    <row r="21" spans="1:35" x14ac:dyDescent="0.2">
      <c r="A21" s="55">
        <f>Fsw/4</f>
        <v>37500</v>
      </c>
      <c r="B21" s="55">
        <f t="shared" si="0"/>
        <v>235619.44901923448</v>
      </c>
      <c r="C21" s="100">
        <f t="shared" si="1"/>
        <v>-16.391627156728877</v>
      </c>
      <c r="D21" s="100">
        <f t="shared" si="2"/>
        <v>-138.69912681817959</v>
      </c>
      <c r="E21" s="100">
        <f t="shared" si="3"/>
        <v>7.8797464642219159</v>
      </c>
      <c r="F21" s="100">
        <f t="shared" si="4"/>
        <v>-1.2569463493168189</v>
      </c>
      <c r="G21" s="100">
        <f t="shared" si="9"/>
        <v>6.6228001149050968</v>
      </c>
      <c r="H21" s="100">
        <f t="shared" si="5"/>
        <v>165.31867156713133</v>
      </c>
      <c r="I21" s="100">
        <f t="shared" si="6"/>
        <v>-18.504020196388222</v>
      </c>
      <c r="J21" s="100">
        <f t="shared" si="10"/>
        <v>146.81465137074312</v>
      </c>
      <c r="K21" s="100">
        <f t="shared" si="11"/>
        <v>-9.7688270418237799</v>
      </c>
      <c r="L21" s="100">
        <f t="shared" si="12"/>
        <v>8.115524552563528</v>
      </c>
      <c r="M21" s="101" t="s">
        <v>125</v>
      </c>
      <c r="N21" s="59">
        <f>1/(Cout*ESR)</f>
        <v>1162790.6976744186</v>
      </c>
      <c r="O21" s="104"/>
      <c r="P21" s="57"/>
      <c r="Q21" s="56">
        <f t="shared" si="7"/>
        <v>2.4773497442620434</v>
      </c>
      <c r="R21" s="103">
        <f t="shared" si="8"/>
        <v>-0.2562375197202178</v>
      </c>
      <c r="S21" s="105"/>
      <c r="T21" s="105"/>
      <c r="U21" s="105"/>
      <c r="V21" s="105"/>
      <c r="W21" s="105"/>
      <c r="X21" s="105"/>
      <c r="Y21" s="105"/>
      <c r="Z21" s="105"/>
      <c r="AA21" s="105"/>
      <c r="AB21" s="105"/>
      <c r="AC21" s="105"/>
      <c r="AD21" s="105"/>
      <c r="AE21" s="105"/>
      <c r="AF21" s="105"/>
      <c r="AG21" s="105"/>
      <c r="AH21" s="105"/>
      <c r="AI21" s="105"/>
    </row>
    <row r="22" spans="1:35" x14ac:dyDescent="0.2">
      <c r="A22" s="55">
        <f>Fsw/2+1</f>
        <v>75001</v>
      </c>
      <c r="B22" s="55">
        <f t="shared" si="0"/>
        <v>471245.18122377613</v>
      </c>
      <c r="C22" s="100">
        <f t="shared" si="1"/>
        <v>-26.784612574809042</v>
      </c>
      <c r="D22" s="100">
        <f t="shared" si="2"/>
        <v>-157.50678521651048</v>
      </c>
      <c r="E22" s="100">
        <f t="shared" si="3"/>
        <v>7.3932075261347681</v>
      </c>
      <c r="F22" s="100">
        <f t="shared" si="4"/>
        <v>-3.1662291100983166</v>
      </c>
      <c r="G22" s="100">
        <f t="shared" si="9"/>
        <v>4.2269784160364514</v>
      </c>
      <c r="H22" s="100">
        <f t="shared" si="5"/>
        <v>156.49324823386186</v>
      </c>
      <c r="I22" s="100">
        <f t="shared" si="6"/>
        <v>-27.29868370355814</v>
      </c>
      <c r="J22" s="100">
        <f t="shared" si="10"/>
        <v>129.19456453030372</v>
      </c>
      <c r="K22" s="100">
        <f t="shared" si="11"/>
        <v>-22.55763415877259</v>
      </c>
      <c r="L22" s="100">
        <f t="shared" si="12"/>
        <v>-28.312220686206757</v>
      </c>
      <c r="M22" s="101"/>
      <c r="N22" s="57"/>
      <c r="O22" s="101"/>
      <c r="P22" s="57"/>
      <c r="Q22" s="56">
        <f t="shared" si="7"/>
        <v>2.3423963158049914</v>
      </c>
      <c r="R22" s="103">
        <f t="shared" si="8"/>
        <v>-0.41027021476810266</v>
      </c>
      <c r="S22" s="105"/>
      <c r="T22" s="105"/>
      <c r="U22" s="105"/>
      <c r="V22" s="105"/>
      <c r="W22" s="105"/>
      <c r="X22" s="105"/>
      <c r="Y22" s="105"/>
      <c r="Z22" s="105"/>
      <c r="AA22" s="105"/>
      <c r="AB22" s="105"/>
      <c r="AC22" s="105"/>
      <c r="AD22" s="105"/>
      <c r="AE22" s="105"/>
      <c r="AF22" s="105"/>
      <c r="AG22" s="105"/>
      <c r="AH22" s="105"/>
      <c r="AI22" s="105"/>
    </row>
    <row r="23" spans="1:35" x14ac:dyDescent="0.2">
      <c r="A23" s="55">
        <f>Fsw</f>
        <v>150000</v>
      </c>
      <c r="B23" s="55">
        <f t="shared" si="0"/>
        <v>942477.79607693793</v>
      </c>
      <c r="C23" s="100">
        <f t="shared" si="1"/>
        <v>-38.454735408722009</v>
      </c>
      <c r="D23" s="100">
        <f t="shared" si="2"/>
        <v>-169.73891679407245</v>
      </c>
      <c r="E23" s="100">
        <f t="shared" si="3"/>
        <v>5.8838007623136193</v>
      </c>
      <c r="F23" s="100">
        <f t="shared" si="4"/>
        <v>-5.9579148773992685</v>
      </c>
      <c r="G23" s="100">
        <f t="shared" si="9"/>
        <v>-7.4114115085649246E-2</v>
      </c>
      <c r="H23" s="100">
        <f t="shared" si="5"/>
        <v>140.46469137904228</v>
      </c>
      <c r="I23" s="100">
        <f t="shared" si="6"/>
        <v>-28.527245650837489</v>
      </c>
      <c r="J23" s="100">
        <f t="shared" si="10"/>
        <v>111.93744572820479</v>
      </c>
      <c r="K23" s="100">
        <f t="shared" si="11"/>
        <v>-38.528849523807658</v>
      </c>
      <c r="L23" s="100">
        <f t="shared" si="12"/>
        <v>-57.801471065867659</v>
      </c>
      <c r="M23" s="101"/>
      <c r="N23" s="57"/>
      <c r="O23" s="101"/>
      <c r="P23" s="57"/>
      <c r="Q23" s="56">
        <f t="shared" si="7"/>
        <v>1.9687475837166324</v>
      </c>
      <c r="R23" s="103">
        <f t="shared" si="8"/>
        <v>-0.69002130622781099</v>
      </c>
      <c r="S23" s="105"/>
      <c r="T23" s="105"/>
      <c r="U23" s="105"/>
      <c r="V23" s="105"/>
      <c r="W23" s="105"/>
      <c r="X23" s="105"/>
      <c r="Y23" s="105"/>
      <c r="Z23" s="105"/>
      <c r="AA23" s="105"/>
      <c r="AB23" s="105"/>
      <c r="AC23" s="105"/>
      <c r="AD23" s="105"/>
      <c r="AE23" s="105"/>
      <c r="AF23" s="105"/>
      <c r="AG23" s="105"/>
      <c r="AH23" s="105"/>
      <c r="AI23" s="105"/>
    </row>
    <row r="24" spans="1:35" x14ac:dyDescent="0.2">
      <c r="G24" s="56"/>
      <c r="H24" s="56"/>
      <c r="I24" s="56"/>
      <c r="S24" s="105"/>
      <c r="T24" s="105"/>
      <c r="U24" s="105"/>
      <c r="V24" s="105"/>
      <c r="W24" s="105"/>
      <c r="X24" s="105"/>
      <c r="Y24" s="105"/>
      <c r="Z24" s="105"/>
      <c r="AA24" s="105"/>
      <c r="AB24" s="105"/>
      <c r="AC24" s="105"/>
      <c r="AD24" s="105"/>
      <c r="AE24" s="105"/>
      <c r="AF24" s="105"/>
      <c r="AG24" s="105"/>
      <c r="AH24" s="105"/>
      <c r="AI24" s="105"/>
    </row>
    <row r="25" spans="1:35" x14ac:dyDescent="0.2">
      <c r="G25" s="56"/>
      <c r="H25" s="56"/>
      <c r="I25" s="56"/>
      <c r="S25" s="105"/>
      <c r="T25" s="105"/>
      <c r="U25" s="105"/>
      <c r="V25" s="105"/>
      <c r="W25" s="105"/>
      <c r="X25" s="105"/>
      <c r="Y25" s="105"/>
      <c r="Z25" s="105"/>
      <c r="AA25" s="105"/>
      <c r="AB25" s="105"/>
      <c r="AC25" s="105"/>
      <c r="AD25" s="105"/>
      <c r="AE25" s="105"/>
      <c r="AF25" s="105"/>
      <c r="AG25" s="105"/>
      <c r="AH25" s="105"/>
      <c r="AI25" s="105"/>
    </row>
    <row r="26" spans="1:35" x14ac:dyDescent="0.2">
      <c r="G26" s="56"/>
      <c r="H26" s="56"/>
      <c r="I26" s="56"/>
      <c r="S26" s="105"/>
      <c r="T26" s="105"/>
      <c r="U26" s="105"/>
      <c r="V26" s="105"/>
      <c r="W26" s="105"/>
      <c r="X26" s="105"/>
      <c r="Y26" s="105"/>
      <c r="Z26" s="105"/>
      <c r="AA26" s="105"/>
      <c r="AB26" s="105"/>
      <c r="AC26" s="105"/>
      <c r="AD26" s="105"/>
      <c r="AE26" s="105"/>
      <c r="AF26" s="105"/>
      <c r="AG26" s="105"/>
      <c r="AH26" s="105"/>
      <c r="AI26" s="105"/>
    </row>
    <row r="27" spans="1:35" x14ac:dyDescent="0.2">
      <c r="G27" s="56"/>
      <c r="H27" s="56"/>
      <c r="I27" s="56"/>
    </row>
    <row r="28" spans="1:35" x14ac:dyDescent="0.2">
      <c r="G28" s="56"/>
      <c r="H28" s="56"/>
      <c r="I28" s="56"/>
    </row>
    <row r="29" spans="1:35" x14ac:dyDescent="0.2">
      <c r="G29" s="56"/>
      <c r="H29" s="56"/>
      <c r="I29" s="56"/>
    </row>
    <row r="43" spans="8:11" x14ac:dyDescent="0.2">
      <c r="I43" s="126" t="s">
        <v>141</v>
      </c>
      <c r="J43" s="109" t="s">
        <v>139</v>
      </c>
    </row>
    <row r="44" spans="8:11" x14ac:dyDescent="0.2">
      <c r="I44" s="111"/>
      <c r="J44" s="112"/>
    </row>
    <row r="45" spans="8:11" x14ac:dyDescent="0.2">
      <c r="I45" s="111"/>
      <c r="J45" s="115"/>
    </row>
    <row r="46" spans="8:11" x14ac:dyDescent="0.2">
      <c r="I46" s="118" t="s">
        <v>140</v>
      </c>
      <c r="J46" s="119" t="s">
        <v>58</v>
      </c>
      <c r="K46" s="119" t="s">
        <v>139</v>
      </c>
    </row>
    <row r="47" spans="8:11" x14ac:dyDescent="0.2">
      <c r="H47" s="6" t="s">
        <v>142</v>
      </c>
      <c r="I47" s="120">
        <v>39</v>
      </c>
      <c r="J47" s="116">
        <f>IF(CompMethod="Auto",Rcomp/1000,I47)</f>
        <v>30.465469265398234</v>
      </c>
      <c r="K47" s="117">
        <f>Rcomp/1000</f>
        <v>30.465469265398234</v>
      </c>
    </row>
    <row r="48" spans="8:11" x14ac:dyDescent="0.2">
      <c r="H48" s="6" t="s">
        <v>34</v>
      </c>
      <c r="I48" s="121">
        <v>1500</v>
      </c>
      <c r="J48" s="76">
        <f>IF(CompMethod="Auto",Ccomp*1000000000000,I48)</f>
        <v>2374.5951628267453</v>
      </c>
      <c r="K48" s="114">
        <f>Ccomp*1000000000000</f>
        <v>2374.5951628267453</v>
      </c>
    </row>
    <row r="49" spans="8:11" x14ac:dyDescent="0.2">
      <c r="H49" s="6" t="s">
        <v>33</v>
      </c>
      <c r="I49" s="121">
        <v>15</v>
      </c>
      <c r="J49" s="76">
        <f>IF(CompMethod="Auto",Chf*1000000000000,I49)</f>
        <v>28.228680559887593</v>
      </c>
      <c r="K49" s="114">
        <f>Chf*1000000000000</f>
        <v>28.228680559887593</v>
      </c>
    </row>
    <row r="52" spans="8:11" x14ac:dyDescent="0.2">
      <c r="I52"/>
      <c r="J52"/>
    </row>
    <row r="53" spans="8:11" x14ac:dyDescent="0.2">
      <c r="I53" s="113"/>
      <c r="J53" s="94"/>
    </row>
  </sheetData>
  <sheetProtection sheet="1" objects="1" scenarios="1"/>
  <phoneticPr fontId="0" type="noConversion"/>
  <conditionalFormatting sqref="J43">
    <cfRule type="expression" dxfId="0" priority="1" stopIfTrue="1">
      <formula>"UVLOdesired=""yes"""</formula>
    </cfRule>
  </conditionalFormatting>
  <dataValidations count="1">
    <dataValidation type="list" allowBlank="1" showErrorMessage="1" errorTitle="Frequency Compensation Method" error="Use drop down menu to select_x000a_Auto or Manual" sqref="J43" xr:uid="{00000000-0002-0000-0200-000000000000}">
      <formula1>Method</formula1>
    </dataValidation>
  </dataValidations>
  <pageMargins left="0.75" right="0.75" top="1" bottom="1" header="0.5" footer="0.5"/>
  <pageSetup scale="67" orientation="portrait" r:id="rId1"/>
  <headerFooter alignWithMargins="0"/>
  <colBreaks count="2" manualBreakCount="2">
    <brk id="12" max="57" man="1"/>
    <brk id="24" max="57"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G23"/>
  <sheetViews>
    <sheetView zoomScaleNormal="100" workbookViewId="0">
      <selection activeCell="M1" sqref="M1"/>
    </sheetView>
  </sheetViews>
  <sheetFormatPr defaultRowHeight="12.75" x14ac:dyDescent="0.2"/>
  <cols>
    <col min="2" max="2" width="15.140625" style="57" customWidth="1"/>
    <col min="3" max="3" width="25.85546875" customWidth="1"/>
    <col min="4" max="4" width="13.5703125" style="57" customWidth="1"/>
    <col min="5" max="5" width="11.28515625" style="57" customWidth="1"/>
    <col min="6" max="6" width="12.7109375" customWidth="1"/>
  </cols>
  <sheetData>
    <row r="1" spans="2:7" ht="13.5" thickBot="1" x14ac:dyDescent="0.25">
      <c r="B1" s="158" t="s">
        <v>154</v>
      </c>
      <c r="C1" s="158"/>
      <c r="D1" s="158"/>
      <c r="E1" s="158"/>
      <c r="F1" s="159"/>
    </row>
    <row r="2" spans="2:7" x14ac:dyDescent="0.2">
      <c r="B2" s="84" t="s">
        <v>56</v>
      </c>
      <c r="C2" s="85" t="s">
        <v>57</v>
      </c>
      <c r="D2" s="86" t="s">
        <v>58</v>
      </c>
      <c r="E2" s="156" t="s">
        <v>71</v>
      </c>
      <c r="F2" s="157"/>
      <c r="G2" s="136"/>
    </row>
    <row r="3" spans="2:7" x14ac:dyDescent="0.2">
      <c r="B3" s="87" t="s">
        <v>63</v>
      </c>
      <c r="C3" s="88" t="s">
        <v>61</v>
      </c>
      <c r="D3" s="133">
        <f>Cin</f>
        <v>10.500000000000002</v>
      </c>
      <c r="E3" s="147">
        <f>VinMax</f>
        <v>60</v>
      </c>
      <c r="F3" s="152">
        <f>Iout/2</f>
        <v>1.5</v>
      </c>
    </row>
    <row r="4" spans="2:7" x14ac:dyDescent="0.2">
      <c r="B4" s="87" t="s">
        <v>62</v>
      </c>
      <c r="C4" s="88" t="s">
        <v>60</v>
      </c>
      <c r="D4" s="134">
        <f>Cramp/0.000000000001</f>
        <v>755.2</v>
      </c>
      <c r="E4" s="148" t="s">
        <v>95</v>
      </c>
      <c r="F4" s="89" t="s">
        <v>172</v>
      </c>
    </row>
    <row r="5" spans="2:7" x14ac:dyDescent="0.2">
      <c r="B5" s="87" t="s">
        <v>64</v>
      </c>
      <c r="C5" s="88" t="s">
        <v>59</v>
      </c>
      <c r="D5" s="132">
        <f>Css/0.000001</f>
        <v>9.876543209876543E-3</v>
      </c>
      <c r="E5" s="148" t="s">
        <v>95</v>
      </c>
      <c r="F5" s="89" t="s">
        <v>173</v>
      </c>
    </row>
    <row r="6" spans="2:7" x14ac:dyDescent="0.2">
      <c r="B6" s="87" t="s">
        <v>72</v>
      </c>
      <c r="C6" s="88" t="s">
        <v>65</v>
      </c>
      <c r="D6" s="145">
        <f>Cout1/0.000001</f>
        <v>56</v>
      </c>
      <c r="E6" s="147">
        <f>Vout</f>
        <v>14.4</v>
      </c>
      <c r="F6" s="152">
        <f>Iripple_pct*Iout/SQRT(12)</f>
        <v>0.43301270189221935</v>
      </c>
    </row>
    <row r="7" spans="2:7" x14ac:dyDescent="0.2">
      <c r="B7" s="87" t="s">
        <v>73</v>
      </c>
      <c r="C7" s="88" t="s">
        <v>65</v>
      </c>
      <c r="D7" s="133">
        <f>Cout2/0.000001</f>
        <v>30.000000000000004</v>
      </c>
      <c r="E7" s="147">
        <f>Vout</f>
        <v>14.4</v>
      </c>
      <c r="F7" s="89" t="s">
        <v>173</v>
      </c>
    </row>
    <row r="8" spans="2:7" x14ac:dyDescent="0.2">
      <c r="B8" s="87" t="s">
        <v>66</v>
      </c>
      <c r="C8" s="88" t="s">
        <v>67</v>
      </c>
      <c r="D8" s="146">
        <f>Cft/0.000001</f>
        <v>1</v>
      </c>
      <c r="E8" s="148" t="s">
        <v>153</v>
      </c>
      <c r="F8" s="89" t="s">
        <v>173</v>
      </c>
    </row>
    <row r="9" spans="2:7" x14ac:dyDescent="0.2">
      <c r="B9" s="87" t="s">
        <v>68</v>
      </c>
      <c r="C9" s="88" t="s">
        <v>69</v>
      </c>
      <c r="D9" s="134">
        <f>Ccmp/0.000000000001</f>
        <v>2374.5951628267453</v>
      </c>
      <c r="E9" s="148" t="s">
        <v>95</v>
      </c>
      <c r="F9" s="89" t="s">
        <v>173</v>
      </c>
    </row>
    <row r="10" spans="2:7" x14ac:dyDescent="0.2">
      <c r="B10" s="87" t="s">
        <v>70</v>
      </c>
      <c r="C10" s="88" t="s">
        <v>69</v>
      </c>
      <c r="D10" s="134">
        <f>Cchf/0.000000000001</f>
        <v>28.228680559887593</v>
      </c>
      <c r="E10" s="148" t="s">
        <v>95</v>
      </c>
      <c r="F10" s="89" t="s">
        <v>173</v>
      </c>
    </row>
    <row r="11" spans="2:7" x14ac:dyDescent="0.2">
      <c r="B11" s="87" t="s">
        <v>74</v>
      </c>
      <c r="C11" s="88" t="s">
        <v>76</v>
      </c>
      <c r="D11" s="132">
        <f>Cvcc/0.000001</f>
        <v>0.54763636363636359</v>
      </c>
      <c r="E11" s="148" t="s">
        <v>153</v>
      </c>
      <c r="F11" s="89" t="s">
        <v>173</v>
      </c>
    </row>
    <row r="12" spans="2:7" x14ac:dyDescent="0.2">
      <c r="B12" s="87" t="s">
        <v>75</v>
      </c>
      <c r="C12" s="88" t="s">
        <v>77</v>
      </c>
      <c r="D12" s="132">
        <f>Chb/0.000001</f>
        <v>0.27381818181818179</v>
      </c>
      <c r="E12" s="148" t="s">
        <v>153</v>
      </c>
      <c r="F12" s="89" t="s">
        <v>173</v>
      </c>
    </row>
    <row r="13" spans="2:7" x14ac:dyDescent="0.2">
      <c r="B13" s="87" t="s">
        <v>78</v>
      </c>
      <c r="C13" s="88" t="s">
        <v>82</v>
      </c>
      <c r="D13" s="144">
        <f>_Rfb1</f>
        <v>1100</v>
      </c>
      <c r="E13" s="148" t="str">
        <f>IF((Vref*Vref/_Rfb1)&lt;0.0625,"1/16 W","1/8 W")</f>
        <v>1/16 W</v>
      </c>
      <c r="F13" s="153">
        <v>0.01</v>
      </c>
    </row>
    <row r="14" spans="2:7" x14ac:dyDescent="0.2">
      <c r="B14" s="87" t="s">
        <v>79</v>
      </c>
      <c r="C14" s="88" t="s">
        <v>82</v>
      </c>
      <c r="D14" s="144">
        <f>_Rfb2</f>
        <v>11937.037037037036</v>
      </c>
      <c r="E14" s="148" t="str">
        <f>IF(_Rfb2*(Vref/_Rfb1)^2&lt;0.0625,"1/16 W","1/8 W")</f>
        <v>1/16 W</v>
      </c>
      <c r="F14" s="153">
        <v>0.01</v>
      </c>
    </row>
    <row r="15" spans="2:7" x14ac:dyDescent="0.2">
      <c r="B15" s="87" t="s">
        <v>80</v>
      </c>
      <c r="C15" s="88" t="s">
        <v>83</v>
      </c>
      <c r="D15" s="137">
        <f>IF(UVLOdesired="Yes", _Ruv1/1000, "-")</f>
        <v>10.045473336089294</v>
      </c>
      <c r="E15" s="148" t="str">
        <f>IF(UVLOdesired="Yes",IF((16*16/_Ruv1)&lt;0.0625,"1/16 W","1/8 W"),"-")</f>
        <v>1/16 W</v>
      </c>
      <c r="F15" s="153" t="str">
        <f>IF(D15="-","-","1%")</f>
        <v>1%</v>
      </c>
    </row>
    <row r="16" spans="2:7" x14ac:dyDescent="0.2">
      <c r="B16" s="87" t="s">
        <v>81</v>
      </c>
      <c r="C16" s="88" t="s">
        <v>83</v>
      </c>
      <c r="D16" s="138">
        <f>IF(UVLOdesired="Yes", _Ruv2/1000, "-")</f>
        <v>300</v>
      </c>
      <c r="E16" s="148" t="str">
        <f>IF(UVLOdesired="Yes",IF(_Ruv2*(16/_Ruv1)^2&lt;0.0625,"1/16 W","1/8 W"),"-")</f>
        <v>1/8 W</v>
      </c>
      <c r="F16" s="153" t="str">
        <f>IF(D16="-","-","1%")</f>
        <v>1%</v>
      </c>
    </row>
    <row r="17" spans="2:6" x14ac:dyDescent="0.2">
      <c r="B17" s="87" t="s">
        <v>84</v>
      </c>
      <c r="C17" s="88" t="s">
        <v>169</v>
      </c>
      <c r="D17" s="139">
        <f>IF(IsenseMethod="RDSON","-",Rs/0.001)</f>
        <v>21.468926553672315</v>
      </c>
      <c r="E17" s="149" t="str">
        <f>IF(D17="-","-",IF(Iout*Iout*Rs&lt;0.25, "1/4 W", IF(Iout*Iout*Rs&lt;0.5, "1/2 W", IF(Iout*Iout*Rs&lt;1,"1 W", " "))))</f>
        <v>1/4 W</v>
      </c>
      <c r="F17" s="153" t="str">
        <f>IF(D17="-","-","1%")</f>
        <v>1%</v>
      </c>
    </row>
    <row r="18" spans="2:6" x14ac:dyDescent="0.2">
      <c r="B18" s="87" t="s">
        <v>155</v>
      </c>
      <c r="C18" s="88" t="s">
        <v>170</v>
      </c>
      <c r="D18" s="144" t="str">
        <f>IF(IsenseMethod="RDSON",Rg,"-")</f>
        <v>-</v>
      </c>
      <c r="E18" s="148" t="str">
        <f>IF(D18="-","-","1/16 W")</f>
        <v>-</v>
      </c>
      <c r="F18" s="89" t="str">
        <f>IF(D18="-","-","1%")</f>
        <v>-</v>
      </c>
    </row>
    <row r="19" spans="2:6" x14ac:dyDescent="0.2">
      <c r="B19" s="87" t="s">
        <v>85</v>
      </c>
      <c r="C19" s="88" t="s">
        <v>171</v>
      </c>
      <c r="D19" s="137">
        <f>Rt/1000</f>
        <v>21.889671361502348</v>
      </c>
      <c r="E19" s="148" t="str">
        <f>IF((Vref*Vref/Rt)&lt;0.0625,"1/16 W","1/8 W")</f>
        <v>1/16 W</v>
      </c>
      <c r="F19" s="153">
        <v>0.01</v>
      </c>
    </row>
    <row r="20" spans="2:6" x14ac:dyDescent="0.2">
      <c r="B20" s="87" t="s">
        <v>86</v>
      </c>
      <c r="C20" s="88" t="s">
        <v>89</v>
      </c>
      <c r="D20" s="135">
        <f>L/0.000001</f>
        <v>48.64</v>
      </c>
      <c r="E20" s="150">
        <f>Isc</f>
        <v>5.1236842105263163</v>
      </c>
      <c r="F20" s="89" t="s">
        <v>174</v>
      </c>
    </row>
    <row r="21" spans="2:6" x14ac:dyDescent="0.2">
      <c r="B21" s="87" t="s">
        <v>93</v>
      </c>
      <c r="C21" s="88" t="s">
        <v>94</v>
      </c>
      <c r="D21" s="144">
        <f>Rdem</f>
        <v>4165.7074646892661</v>
      </c>
      <c r="E21" s="148" t="str">
        <f>IF(D21="-","-","1/16 W")</f>
        <v>1/16 W</v>
      </c>
      <c r="F21" s="155" t="str">
        <f>IF(D21="-","-","5%")</f>
        <v>5%</v>
      </c>
    </row>
    <row r="22" spans="2:6" x14ac:dyDescent="0.2">
      <c r="B22" s="87" t="s">
        <v>87</v>
      </c>
      <c r="C22" s="88" t="s">
        <v>88</v>
      </c>
      <c r="D22" s="138">
        <f>IF(Vout&gt;7.5, (VCC-Vramp)/(Iosc-0.000025)/1000, "-")</f>
        <v>296.86809137803982</v>
      </c>
      <c r="E22" s="148" t="str">
        <f>IF(D22="-","-","1/16 W")</f>
        <v>1/16 W</v>
      </c>
      <c r="F22" s="153" t="str">
        <f>IF(D22="-","-","5%")</f>
        <v>5%</v>
      </c>
    </row>
    <row r="23" spans="2:6" ht="13.5" thickBot="1" x14ac:dyDescent="0.25">
      <c r="B23" s="90" t="s">
        <v>90</v>
      </c>
      <c r="C23" s="91" t="s">
        <v>91</v>
      </c>
      <c r="D23" s="140">
        <f>Rcmp/1000</f>
        <v>30.465469265398234</v>
      </c>
      <c r="E23" s="151" t="s">
        <v>113</v>
      </c>
      <c r="F23" s="154">
        <v>0.05</v>
      </c>
    </row>
  </sheetData>
  <sheetProtection sheet="1" objects="1" scenarios="1"/>
  <mergeCells count="2">
    <mergeCell ref="E2:F2"/>
    <mergeCell ref="B1:F1"/>
  </mergeCells>
  <phoneticPr fontId="24" type="noConversion"/>
  <pageMargins left="0.75" right="0.75" top="1" bottom="1" header="0.5" footer="0.5"/>
  <pageSetup orientation="portrait" r:id="rId1"/>
  <headerFooter alignWithMargins="0"/>
  <ignoredErrors>
    <ignoredError sqref="D4 E1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55</vt:i4>
      </vt:variant>
    </vt:vector>
  </HeadingPairs>
  <TitlesOfParts>
    <vt:vector size="59" baseType="lpstr">
      <vt:lpstr>LM(2)5116 Calculator</vt:lpstr>
      <vt:lpstr>Power Dissipation</vt:lpstr>
      <vt:lpstr>Frequency Compensation Graphs</vt:lpstr>
      <vt:lpstr>Bill of Materials</vt:lpstr>
      <vt:lpstr>_Rfb1</vt:lpstr>
      <vt:lpstr>_Rfb2</vt:lpstr>
      <vt:lpstr>Aea</vt:lpstr>
      <vt:lpstr>Aol</vt:lpstr>
      <vt:lpstr>Av</vt:lpstr>
      <vt:lpstr>Cin</vt:lpstr>
      <vt:lpstr>CompMethod</vt:lpstr>
      <vt:lpstr>D</vt:lpstr>
      <vt:lpstr>DiodeEmulation</vt:lpstr>
      <vt:lpstr>ESR</vt:lpstr>
      <vt:lpstr>f</vt:lpstr>
      <vt:lpstr>Gmod</vt:lpstr>
      <vt:lpstr>Ilimit</vt:lpstr>
      <vt:lpstr>Iout</vt:lpstr>
      <vt:lpstr>Isc</vt:lpstr>
      <vt:lpstr>IsenseMethod</vt:lpstr>
      <vt:lpstr>Kd</vt:lpstr>
      <vt:lpstr>Kfb</vt:lpstr>
      <vt:lpstr>Km</vt:lpstr>
      <vt:lpstr>Ksl</vt:lpstr>
      <vt:lpstr>Method</vt:lpstr>
      <vt:lpstr>'Bill of Materials'!Print_Area</vt:lpstr>
      <vt:lpstr>'Frequency Compensation Graphs'!Print_Area</vt:lpstr>
      <vt:lpstr>'LM(2)5116 Calculator'!Print_Area</vt:lpstr>
      <vt:lpstr>Q</vt:lpstr>
      <vt:lpstr>Rdem</vt:lpstr>
      <vt:lpstr>Rg</vt:lpstr>
      <vt:lpstr>Ri</vt:lpstr>
      <vt:lpstr>RJA</vt:lpstr>
      <vt:lpstr>Rth</vt:lpstr>
      <vt:lpstr>Sap</vt:lpstr>
      <vt:lpstr>Se</vt:lpstr>
      <vt:lpstr>SenseR</vt:lpstr>
      <vt:lpstr>TA</vt:lpstr>
      <vt:lpstr>toff</vt:lpstr>
      <vt:lpstr>ton</vt:lpstr>
      <vt:lpstr>UVLOdesired</vt:lpstr>
      <vt:lpstr>VCCX</vt:lpstr>
      <vt:lpstr>Vin</vt:lpstr>
      <vt:lpstr>VIN_UVLO</vt:lpstr>
      <vt:lpstr>VinMax</vt:lpstr>
      <vt:lpstr>VinMin</vt:lpstr>
      <vt:lpstr>Vout</vt:lpstr>
      <vt:lpstr>Vsl</vt:lpstr>
      <vt:lpstr>w</vt:lpstr>
      <vt:lpstr>wbw</vt:lpstr>
      <vt:lpstr>whf</vt:lpstr>
      <vt:lpstr>wn</vt:lpstr>
      <vt:lpstr>wo</vt:lpstr>
      <vt:lpstr>wp</vt:lpstr>
      <vt:lpstr>wth</vt:lpstr>
      <vt:lpstr>wz</vt:lpstr>
      <vt:lpstr>wzea</vt:lpstr>
      <vt:lpstr>YesOrNo</vt:lpstr>
      <vt:lpstr>Zea</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dpace</dc:creator>
  <cp:lastModifiedBy>Mutum Meenakshi Devi</cp:lastModifiedBy>
  <cp:lastPrinted>2008-02-19T23:48:47Z</cp:lastPrinted>
  <dcterms:created xsi:type="dcterms:W3CDTF">2006-12-05T19:00:10Z</dcterms:created>
  <dcterms:modified xsi:type="dcterms:W3CDTF">2021-02-11T11:39:56Z</dcterms:modified>
</cp:coreProperties>
</file>