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teslamotorsinc-my.sharepoint.com/personal/yutaowang_tesla_com/Documents/PCB/DCDC Constant Power/Sync Buck/"/>
    </mc:Choice>
  </mc:AlternateContent>
  <xr:revisionPtr revIDLastSave="31" documentId="13_ncr:4000b_{C9DA5712-5D24-4E49-A48C-1334FD28D344}" xr6:coauthVersionLast="47" xr6:coauthVersionMax="47" xr10:uidLastSave="{3783EF2C-9226-4D79-80D5-0B69DBE36C6F}"/>
  <bookViews>
    <workbookView xWindow="-120" yWindow="-120" windowWidth="29040" windowHeight="15840" xr2:uid="{00000000-000D-0000-FFFF-FFFF00000000}"/>
  </bookViews>
  <sheets>
    <sheet name="LM(2)5117" sheetId="1" r:id="rId1"/>
  </sheets>
  <functionGroups builtInGroupCount="19"/>
  <definedNames>
    <definedName name="_xlnm._FilterDatabase" localSheetId="0" hidden="1">'LM(2)5117'!$W$22:$W$23</definedName>
    <definedName name="_RFB1">'LM(2)5117'!$I$97</definedName>
    <definedName name="_RFB2">'LM(2)5117'!$I$96</definedName>
    <definedName name="_RUV1">'LM(2)5117'!$I$55</definedName>
    <definedName name="_RUV2">'LM(2)5117'!$I$54</definedName>
    <definedName name="absmin">'LM(2)5117'!$W$24</definedName>
    <definedName name="Afb">'LM(2)5117'!$S$74</definedName>
    <definedName name="Am">'LM(2)5117'!$S$66</definedName>
    <definedName name="as">'LM(2)5117'!$W$16</definedName>
    <definedName name="CCOMP">'LM(2)5117'!$I$105</definedName>
    <definedName name="ccomp_chf">'LM(2)5117'!$S$69</definedName>
    <definedName name="CFT">'LM(2)5117'!$I$56</definedName>
    <definedName name="CGD_H">'LM(2)5117'!$I$115</definedName>
    <definedName name="CGD_L">'LM(2)5117'!$I$117</definedName>
    <definedName name="CGS_H">'LM(2)5117'!$I$114</definedName>
    <definedName name="CGS_L">'LM(2)5117'!$I$116</definedName>
    <definedName name="CHB">'LM(2)5117'!$I$66</definedName>
    <definedName name="CHF">'LM(2)5117'!$I$108</definedName>
    <definedName name="CIN">'LM(2)5117'!$I$80</definedName>
    <definedName name="CL_p">'LM(2)5117'!$I$36</definedName>
    <definedName name="COUT">'LM(2)5117'!$I$74</definedName>
    <definedName name="COUT1">'LM(2)5117'!$I$71</definedName>
    <definedName name="cout1_cout2">'LM(2)5117'!$S$57</definedName>
    <definedName name="COUT2">'LM(2)5117'!$I$72</definedName>
    <definedName name="CRAMP">'LM(2)5117'!$I$47</definedName>
    <definedName name="CRES">'LM(2)5117'!$I$92</definedName>
    <definedName name="CSS">'LM(2)5117'!$I$87</definedName>
    <definedName name="CVCC">'LM(2)5117'!$I$67</definedName>
    <definedName name="DMAX">'LM(2)5117'!$I$22</definedName>
    <definedName name="DMIN">'LM(2)5117'!$I$23</definedName>
    <definedName name="EXT">'LM(2)5117'!$I$112</definedName>
    <definedName name="EXTVCC">'LM(2)5117'!$I$113</definedName>
    <definedName name="FCROSS">'LM(2)5117'!$I$101</definedName>
    <definedName name="fcrossmax">'LM(2)5117'!$W$32</definedName>
    <definedName name="Fp_lf">'LM(2)5117'!$W$29</definedName>
    <definedName name="FSW">'LM(2)5117'!$I$21</definedName>
    <definedName name="Fz_esr">'LM(2)5117'!$W$28</definedName>
    <definedName name="IC">'LM(2)5117'!$I$17</definedName>
    <definedName name="icclimit">'LM(2)5117'!$W$25</definedName>
    <definedName name="ihys">'LM(2)5117'!$W$17</definedName>
    <definedName name="IMAX_VINMAX">'LM(2)5117'!$I$41</definedName>
    <definedName name="IMAX_VINMIN">'LM(2)5117'!$I$40</definedName>
    <definedName name="IOUT">'LM(2)5117'!$I$16</definedName>
    <definedName name="IPEAK">'LM(2)5117'!$I$42</definedName>
    <definedName name="ires">'LM(2)5117'!$W$20</definedName>
    <definedName name="iss">'LM(2)5117'!$W$19</definedName>
    <definedName name="ivcc">'LM(2)5117'!$W$37</definedName>
    <definedName name="Ivin_oper">'LM(2)5117'!$W$34</definedName>
    <definedName name="K">'LM(2)5117'!$I$37</definedName>
    <definedName name="LO">'LM(2)5117'!$I$30</definedName>
    <definedName name="LO_">'LM(2)5117'!$I$29</definedName>
    <definedName name="mintoff">'LM(2)5117'!$W$13</definedName>
    <definedName name="minton">'LM(2)5117'!$W$14</definedName>
    <definedName name="PLOSSIC">'LM(2)5117'!$I$118</definedName>
    <definedName name="_xlnm.Print_Area" localSheetId="0">'LM(2)5117'!$A$1:$O$128</definedName>
    <definedName name="PRS">'LM(2)5117'!$I$43</definedName>
    <definedName name="Q">'LM(2)5117'!$W$31</definedName>
    <definedName name="QGH">'LM(2)5117'!$I$60</definedName>
    <definedName name="QGL">'LM(2)5117'!$I$61</definedName>
    <definedName name="RCOMP">'LM(2)5117'!$I$103</definedName>
    <definedName name="RESR">'LM(2)5117'!$I$73</definedName>
    <definedName name="RESR2">'LM(2)5117'!$W$41</definedName>
    <definedName name="resth">'LM(2)5117'!$W$21</definedName>
    <definedName name="Rload">'LM(2)5117'!$S$56</definedName>
    <definedName name="RR">'LM(2)5117'!$I$28</definedName>
    <definedName name="RRAMP">'LM(2)5117'!$I$48</definedName>
    <definedName name="RS">'LM(2)5117'!$I$39</definedName>
    <definedName name="RS_">'LM(2)5117'!$I$38</definedName>
    <definedName name="RT">'LM(2)5117'!$I$24</definedName>
    <definedName name="rvcc">'LM(2)5117'!$W$36</definedName>
    <definedName name="TAMB">'LM(2)5117'!$I$111</definedName>
    <definedName name="theta_llp">'LM(2)5117'!$W$39</definedName>
    <definedName name="theta_tssop">'LM(2)5117'!$W$38</definedName>
    <definedName name="TRES">'LM(2)5117'!$I$91</definedName>
    <definedName name="TSS">'LM(2)5117'!$I$86</definedName>
    <definedName name="tsslimit">'LM(2)5117'!$W$26</definedName>
    <definedName name="uvloth">'LM(2)5117'!$W$18</definedName>
    <definedName name="vcsth">'LM(2)5117'!$W$15</definedName>
    <definedName name="VHYS">'LM(2)5117'!$I$53</definedName>
    <definedName name="VINMAX">'LM(2)5117'!$I$13</definedName>
    <definedName name="VINMIN">'LM(2)5117'!$I$14</definedName>
    <definedName name="VINSTARTUP">'LM(2)5117'!$I$52</definedName>
    <definedName name="VOUT">'LM(2)5117'!$I$15</definedName>
    <definedName name="VPP">'LM(2)5117'!$I$75</definedName>
    <definedName name="vrt">'LM(2)5117'!$W$35</definedName>
    <definedName name="wlc">'LM(2)5117'!$S$78</definedName>
    <definedName name="wn">'LM(2)5117'!$S$64</definedName>
    <definedName name="wp_ea">'LM(2)5117'!$S$72</definedName>
    <definedName name="wp_esr">'LM(2)5117'!$S$63</definedName>
    <definedName name="wp_esr2">'LM(2)5117'!$X$63</definedName>
    <definedName name="wp_hf">'LM(2)5117'!$S$61</definedName>
    <definedName name="wp_lf">'LM(2)5117'!$S$60</definedName>
    <definedName name="wp_lf2">'LM(2)5117'!$X$60</definedName>
    <definedName name="wz_ea">'LM(2)5117'!$S$71</definedName>
    <definedName name="wz_esr">'LM(2)5117'!$S$62</definedName>
    <definedName name="wz_esr2">'LM(2)5117'!$X$62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6" i="1" l="1"/>
  <c r="I72" i="1"/>
  <c r="I74" i="1"/>
  <c r="I102" i="1"/>
  <c r="I17" i="1"/>
  <c r="M27" i="1" s="1"/>
  <c r="I22" i="1"/>
  <c r="S61" i="1"/>
  <c r="U61" i="1" s="1"/>
  <c r="W41" i="1"/>
  <c r="X62" i="1"/>
  <c r="R82" i="1"/>
  <c r="S82" i="1" s="1"/>
  <c r="S64" i="1"/>
  <c r="U64" i="1" s="1"/>
  <c r="R172" i="1"/>
  <c r="S172" i="1"/>
  <c r="S69" i="1"/>
  <c r="S72" i="1" s="1"/>
  <c r="S74" i="1"/>
  <c r="R171" i="1"/>
  <c r="S171" i="1" s="1"/>
  <c r="R170" i="1"/>
  <c r="S170" i="1"/>
  <c r="R169" i="1"/>
  <c r="S169" i="1"/>
  <c r="R168" i="1"/>
  <c r="S168" i="1" s="1"/>
  <c r="R167" i="1"/>
  <c r="S167" i="1" s="1"/>
  <c r="R166" i="1"/>
  <c r="S166" i="1"/>
  <c r="R165" i="1"/>
  <c r="S165" i="1" s="1"/>
  <c r="R164" i="1"/>
  <c r="S164" i="1" s="1"/>
  <c r="R163" i="1"/>
  <c r="S163" i="1" s="1"/>
  <c r="R162" i="1"/>
  <c r="S162" i="1"/>
  <c r="R161" i="1"/>
  <c r="S161" i="1"/>
  <c r="R160" i="1"/>
  <c r="S160" i="1" s="1"/>
  <c r="R159" i="1"/>
  <c r="S159" i="1" s="1"/>
  <c r="R158" i="1"/>
  <c r="S158" i="1"/>
  <c r="R157" i="1"/>
  <c r="S157" i="1" s="1"/>
  <c r="R156" i="1"/>
  <c r="S156" i="1" s="1"/>
  <c r="R155" i="1"/>
  <c r="S155" i="1" s="1"/>
  <c r="R154" i="1"/>
  <c r="S154" i="1"/>
  <c r="R153" i="1"/>
  <c r="S153" i="1"/>
  <c r="R152" i="1"/>
  <c r="S152" i="1"/>
  <c r="R151" i="1"/>
  <c r="S151" i="1"/>
  <c r="R150" i="1"/>
  <c r="S150" i="1" s="1"/>
  <c r="R149" i="1"/>
  <c r="S149" i="1"/>
  <c r="R148" i="1"/>
  <c r="S148" i="1" s="1"/>
  <c r="R147" i="1"/>
  <c r="S147" i="1"/>
  <c r="R146" i="1"/>
  <c r="S146" i="1"/>
  <c r="R145" i="1"/>
  <c r="S145" i="1" s="1"/>
  <c r="R144" i="1"/>
  <c r="S144" i="1" s="1"/>
  <c r="R143" i="1"/>
  <c r="S143" i="1"/>
  <c r="R142" i="1"/>
  <c r="S142" i="1" s="1"/>
  <c r="R141" i="1"/>
  <c r="S141" i="1" s="1"/>
  <c r="R140" i="1"/>
  <c r="S140" i="1" s="1"/>
  <c r="R139" i="1"/>
  <c r="S139" i="1"/>
  <c r="R138" i="1"/>
  <c r="S138" i="1"/>
  <c r="R137" i="1"/>
  <c r="S137" i="1" s="1"/>
  <c r="R136" i="1"/>
  <c r="S136" i="1" s="1"/>
  <c r="R135" i="1"/>
  <c r="S135" i="1"/>
  <c r="R134" i="1"/>
  <c r="S134" i="1"/>
  <c r="R133" i="1"/>
  <c r="S133" i="1" s="1"/>
  <c r="R132" i="1"/>
  <c r="S132" i="1"/>
  <c r="R131" i="1"/>
  <c r="S131" i="1" s="1"/>
  <c r="R130" i="1"/>
  <c r="S130" i="1" s="1"/>
  <c r="R129" i="1"/>
  <c r="S129" i="1"/>
  <c r="R128" i="1"/>
  <c r="S128" i="1"/>
  <c r="R127" i="1"/>
  <c r="S127" i="1" s="1"/>
  <c r="R126" i="1"/>
  <c r="S126" i="1"/>
  <c r="R125" i="1"/>
  <c r="S125" i="1" s="1"/>
  <c r="R124" i="1"/>
  <c r="S124" i="1"/>
  <c r="R123" i="1"/>
  <c r="S123" i="1"/>
  <c r="R122" i="1"/>
  <c r="S122" i="1" s="1"/>
  <c r="R121" i="1"/>
  <c r="S121" i="1" s="1"/>
  <c r="R120" i="1"/>
  <c r="S120" i="1"/>
  <c r="R119" i="1"/>
  <c r="S119" i="1" s="1"/>
  <c r="R118" i="1"/>
  <c r="S118" i="1" s="1"/>
  <c r="R117" i="1"/>
  <c r="S117" i="1"/>
  <c r="R116" i="1"/>
  <c r="S116" i="1"/>
  <c r="R115" i="1"/>
  <c r="S115" i="1"/>
  <c r="R114" i="1"/>
  <c r="S114" i="1" s="1"/>
  <c r="R113" i="1"/>
  <c r="S113" i="1" s="1"/>
  <c r="R112" i="1"/>
  <c r="S112" i="1"/>
  <c r="R111" i="1"/>
  <c r="S111" i="1" s="1"/>
  <c r="R110" i="1"/>
  <c r="S110" i="1" s="1"/>
  <c r="R109" i="1"/>
  <c r="S109" i="1"/>
  <c r="R108" i="1"/>
  <c r="S108" i="1" s="1"/>
  <c r="R107" i="1"/>
  <c r="S107" i="1" s="1"/>
  <c r="R106" i="1"/>
  <c r="S106" i="1"/>
  <c r="R105" i="1"/>
  <c r="S105" i="1"/>
  <c r="R104" i="1"/>
  <c r="S104" i="1" s="1"/>
  <c r="R103" i="1"/>
  <c r="S103" i="1" s="1"/>
  <c r="R102" i="1"/>
  <c r="S102" i="1"/>
  <c r="R101" i="1"/>
  <c r="S101" i="1"/>
  <c r="R100" i="1"/>
  <c r="S100" i="1"/>
  <c r="R99" i="1"/>
  <c r="S99" i="1" s="1"/>
  <c r="R98" i="1"/>
  <c r="S98" i="1" s="1"/>
  <c r="R97" i="1"/>
  <c r="S97" i="1"/>
  <c r="R96" i="1"/>
  <c r="S96" i="1" s="1"/>
  <c r="R95" i="1"/>
  <c r="S95" i="1" s="1"/>
  <c r="R94" i="1"/>
  <c r="S94" i="1"/>
  <c r="R93" i="1"/>
  <c r="S93" i="1"/>
  <c r="R92" i="1"/>
  <c r="S92" i="1"/>
  <c r="R91" i="1"/>
  <c r="S91" i="1" s="1"/>
  <c r="R90" i="1"/>
  <c r="S90" i="1"/>
  <c r="R89" i="1"/>
  <c r="S89" i="1" s="1"/>
  <c r="R88" i="1"/>
  <c r="S88" i="1" s="1"/>
  <c r="R87" i="1"/>
  <c r="S87" i="1"/>
  <c r="R86" i="1"/>
  <c r="S86" i="1"/>
  <c r="R85" i="1"/>
  <c r="S85" i="1"/>
  <c r="R84" i="1"/>
  <c r="S84" i="1" s="1"/>
  <c r="R83" i="1"/>
  <c r="S83" i="1"/>
  <c r="S56" i="1"/>
  <c r="S60" i="1" s="1"/>
  <c r="S62" i="1"/>
  <c r="U62" i="1"/>
  <c r="S57" i="1"/>
  <c r="S63" i="1"/>
  <c r="S71" i="1"/>
  <c r="S78" i="1"/>
  <c r="U78" i="1" s="1"/>
  <c r="S58" i="1"/>
  <c r="M37" i="1"/>
  <c r="I104" i="1"/>
  <c r="M46" i="1"/>
  <c r="M36" i="1"/>
  <c r="I43" i="1"/>
  <c r="N43" i="1" s="1"/>
  <c r="N49" i="1"/>
  <c r="I41" i="1"/>
  <c r="I42" i="1"/>
  <c r="I54" i="1"/>
  <c r="N40" i="1"/>
  <c r="N45" i="1"/>
  <c r="I97" i="1"/>
  <c r="N41" i="1"/>
  <c r="N42" i="1"/>
  <c r="W40" i="1"/>
  <c r="W31" i="1"/>
  <c r="W32" i="1"/>
  <c r="N31" i="1"/>
  <c r="N32" i="1"/>
  <c r="N30" i="1"/>
  <c r="N29" i="1"/>
  <c r="N28" i="1"/>
  <c r="M47" i="1"/>
  <c r="I48" i="1"/>
  <c r="M45" i="1" s="1"/>
  <c r="M43" i="1"/>
  <c r="M42" i="1"/>
  <c r="M35" i="1"/>
  <c r="I92" i="1"/>
  <c r="M34" i="1" s="1"/>
  <c r="I87" i="1"/>
  <c r="M33" i="1" s="1"/>
  <c r="M32" i="1"/>
  <c r="M31" i="1"/>
  <c r="M30" i="1"/>
  <c r="M29" i="1"/>
  <c r="T44" i="1"/>
  <c r="T45" i="1"/>
  <c r="T46" i="1"/>
  <c r="T47" i="1"/>
  <c r="T48" i="1"/>
  <c r="T49" i="1"/>
  <c r="T50" i="1"/>
  <c r="T51" i="1"/>
  <c r="T52" i="1"/>
  <c r="T53" i="1"/>
  <c r="T43" i="1"/>
  <c r="W30" i="1"/>
  <c r="I82" i="1"/>
  <c r="W24" i="1"/>
  <c r="G113" i="1"/>
  <c r="M28" i="1"/>
  <c r="I62" i="1"/>
  <c r="I29" i="1"/>
  <c r="I40" i="1"/>
  <c r="I38" i="1"/>
  <c r="I32" i="1"/>
  <c r="I31" i="1"/>
  <c r="I23" i="1"/>
  <c r="W33" i="1"/>
  <c r="I81" i="1"/>
  <c r="I55" i="1"/>
  <c r="I56" i="1"/>
  <c r="M38" i="1" s="1"/>
  <c r="M40" i="1"/>
  <c r="X63" i="1"/>
  <c r="M41" i="1"/>
  <c r="W28" i="1"/>
  <c r="W26" i="1"/>
  <c r="I75" i="1"/>
  <c r="W29" i="1"/>
  <c r="M39" i="1"/>
  <c r="I106" i="1"/>
  <c r="I107" i="1"/>
  <c r="U63" i="1"/>
  <c r="I24" i="1"/>
  <c r="U72" i="1" l="1"/>
  <c r="W170" i="1"/>
  <c r="W152" i="1"/>
  <c r="W109" i="1"/>
  <c r="V169" i="1"/>
  <c r="V158" i="1"/>
  <c r="V166" i="1"/>
  <c r="V87" i="1"/>
  <c r="V115" i="1"/>
  <c r="V152" i="1"/>
  <c r="V134" i="1"/>
  <c r="V172" i="1"/>
  <c r="V109" i="1"/>
  <c r="V151" i="1"/>
  <c r="V101" i="1"/>
  <c r="W85" i="1"/>
  <c r="V124" i="1"/>
  <c r="V116" i="1"/>
  <c r="V100" i="1"/>
  <c r="W83" i="1"/>
  <c r="W135" i="1"/>
  <c r="V94" i="1"/>
  <c r="V132" i="1"/>
  <c r="V149" i="1"/>
  <c r="U71" i="1"/>
  <c r="V83" i="1"/>
  <c r="W105" i="1"/>
  <c r="V126" i="1"/>
  <c r="W158" i="1"/>
  <c r="V90" i="1"/>
  <c r="W132" i="1"/>
  <c r="W112" i="1"/>
  <c r="V102" i="1"/>
  <c r="W149" i="1"/>
  <c r="V161" i="1"/>
  <c r="W116" i="1"/>
  <c r="V97" i="1"/>
  <c r="W93" i="1"/>
  <c r="W138" i="1"/>
  <c r="V106" i="1"/>
  <c r="V147" i="1"/>
  <c r="W87" i="1"/>
  <c r="W169" i="1"/>
  <c r="V138" i="1"/>
  <c r="W102" i="1"/>
  <c r="V139" i="1"/>
  <c r="V85" i="1"/>
  <c r="V170" i="1"/>
  <c r="W134" i="1"/>
  <c r="W100" i="1"/>
  <c r="W94" i="1"/>
  <c r="W172" i="1"/>
  <c r="W166" i="1"/>
  <c r="V92" i="1"/>
  <c r="W153" i="1"/>
  <c r="V117" i="1"/>
  <c r="W129" i="1"/>
  <c r="W162" i="1"/>
  <c r="V128" i="1"/>
  <c r="W90" i="1"/>
  <c r="W123" i="1"/>
  <c r="V143" i="1"/>
  <c r="V105" i="1"/>
  <c r="W128" i="1"/>
  <c r="W101" i="1"/>
  <c r="V129" i="1"/>
  <c r="V162" i="1"/>
  <c r="W126" i="1"/>
  <c r="W92" i="1"/>
  <c r="W124" i="1"/>
  <c r="V123" i="1"/>
  <c r="W139" i="1"/>
  <c r="V154" i="1"/>
  <c r="W120" i="1"/>
  <c r="V135" i="1"/>
  <c r="W117" i="1"/>
  <c r="W143" i="1"/>
  <c r="W154" i="1"/>
  <c r="V120" i="1"/>
  <c r="W115" i="1"/>
  <c r="W147" i="1"/>
  <c r="W151" i="1"/>
  <c r="W146" i="1"/>
  <c r="V112" i="1"/>
  <c r="V93" i="1"/>
  <c r="V86" i="1"/>
  <c r="W97" i="1"/>
  <c r="W161" i="1"/>
  <c r="V146" i="1"/>
  <c r="W106" i="1"/>
  <c r="N47" i="1"/>
  <c r="I118" i="1"/>
  <c r="I119" i="1" s="1"/>
  <c r="U51" i="1"/>
  <c r="V51" i="1" s="1"/>
  <c r="U45" i="1"/>
  <c r="W45" i="1" s="1"/>
  <c r="U43" i="1"/>
  <c r="V43" i="1" s="1"/>
  <c r="M44" i="1"/>
  <c r="U47" i="1"/>
  <c r="W47" i="1" s="1"/>
  <c r="U53" i="1"/>
  <c r="U44" i="1"/>
  <c r="U49" i="1"/>
  <c r="W49" i="1" s="1"/>
  <c r="V91" i="1"/>
  <c r="W91" i="1"/>
  <c r="V114" i="1"/>
  <c r="W114" i="1"/>
  <c r="V167" i="1"/>
  <c r="W167" i="1"/>
  <c r="V84" i="1"/>
  <c r="W84" i="1"/>
  <c r="V107" i="1"/>
  <c r="W107" i="1"/>
  <c r="W118" i="1"/>
  <c r="V118" i="1"/>
  <c r="W150" i="1"/>
  <c r="V150" i="1"/>
  <c r="V88" i="1"/>
  <c r="W88" i="1"/>
  <c r="W98" i="1"/>
  <c r="V98" i="1"/>
  <c r="W108" i="1"/>
  <c r="V108" i="1"/>
  <c r="W119" i="1"/>
  <c r="V119" i="1"/>
  <c r="W140" i="1"/>
  <c r="V140" i="1"/>
  <c r="V99" i="1"/>
  <c r="W99" i="1"/>
  <c r="V130" i="1"/>
  <c r="W130" i="1"/>
  <c r="W141" i="1"/>
  <c r="V141" i="1"/>
  <c r="W131" i="1"/>
  <c r="V131" i="1"/>
  <c r="V142" i="1"/>
  <c r="W142" i="1"/>
  <c r="W113" i="1"/>
  <c r="V113" i="1"/>
  <c r="AA113" i="1"/>
  <c r="W89" i="1"/>
  <c r="V89" i="1"/>
  <c r="W110" i="1"/>
  <c r="V110" i="1"/>
  <c r="W121" i="1"/>
  <c r="V121" i="1"/>
  <c r="W163" i="1"/>
  <c r="V163" i="1"/>
  <c r="V111" i="1"/>
  <c r="W111" i="1"/>
  <c r="V122" i="1"/>
  <c r="W122" i="1"/>
  <c r="W164" i="1"/>
  <c r="V164" i="1"/>
  <c r="V133" i="1"/>
  <c r="W133" i="1"/>
  <c r="V144" i="1"/>
  <c r="W144" i="1"/>
  <c r="W165" i="1"/>
  <c r="V165" i="1"/>
  <c r="V82" i="1"/>
  <c r="W82" i="1"/>
  <c r="W145" i="1"/>
  <c r="V145" i="1"/>
  <c r="W104" i="1"/>
  <c r="V104" i="1"/>
  <c r="V125" i="1"/>
  <c r="W125" i="1"/>
  <c r="V156" i="1"/>
  <c r="W156" i="1"/>
  <c r="V168" i="1"/>
  <c r="W168" i="1"/>
  <c r="V136" i="1"/>
  <c r="W136" i="1"/>
  <c r="V157" i="1"/>
  <c r="W157" i="1"/>
  <c r="V103" i="1"/>
  <c r="W103" i="1"/>
  <c r="V155" i="1"/>
  <c r="W155" i="1"/>
  <c r="V137" i="1"/>
  <c r="W137" i="1"/>
  <c r="V95" i="1"/>
  <c r="W95" i="1"/>
  <c r="V127" i="1"/>
  <c r="W127" i="1"/>
  <c r="W148" i="1"/>
  <c r="V148" i="1"/>
  <c r="V96" i="1"/>
  <c r="W96" i="1"/>
  <c r="W159" i="1"/>
  <c r="V159" i="1"/>
  <c r="W160" i="1"/>
  <c r="V160" i="1"/>
  <c r="V171" i="1"/>
  <c r="W171" i="1"/>
  <c r="X60" i="1"/>
  <c r="AA150" i="1" s="1"/>
  <c r="AC150" i="1" s="1"/>
  <c r="W86" i="1"/>
  <c r="V153" i="1"/>
  <c r="U52" i="1"/>
  <c r="V52" i="1" s="1"/>
  <c r="U50" i="1"/>
  <c r="V50" i="1" s="1"/>
  <c r="U48" i="1"/>
  <c r="V48" i="1" s="1"/>
  <c r="U46" i="1"/>
  <c r="W46" i="1" s="1"/>
  <c r="AA106" i="1"/>
  <c r="AC106" i="1" s="1"/>
  <c r="AA93" i="1"/>
  <c r="S66" i="1"/>
  <c r="T107" i="1" s="1"/>
  <c r="AA90" i="1"/>
  <c r="AC90" i="1" s="1"/>
  <c r="AA157" i="1"/>
  <c r="AA142" i="1"/>
  <c r="AA162" i="1"/>
  <c r="AC162" i="1" s="1"/>
  <c r="AA129" i="1"/>
  <c r="AC129" i="1" s="1"/>
  <c r="U170" i="1"/>
  <c r="Y170" i="1" s="1"/>
  <c r="U98" i="1"/>
  <c r="U110" i="1"/>
  <c r="Y110" i="1" s="1"/>
  <c r="U137" i="1"/>
  <c r="U118" i="1"/>
  <c r="U169" i="1"/>
  <c r="Y169" i="1" s="1"/>
  <c r="U156" i="1"/>
  <c r="U168" i="1"/>
  <c r="U91" i="1"/>
  <c r="U96" i="1"/>
  <c r="U111" i="1"/>
  <c r="U135" i="1"/>
  <c r="Y135" i="1" s="1"/>
  <c r="U160" i="1"/>
  <c r="U112" i="1"/>
  <c r="Y112" i="1" s="1"/>
  <c r="U167" i="1"/>
  <c r="Y167" i="1" s="1"/>
  <c r="U90" i="1"/>
  <c r="Y90" i="1" s="1"/>
  <c r="U93" i="1"/>
  <c r="U120" i="1"/>
  <c r="Y120" i="1" s="1"/>
  <c r="U154" i="1"/>
  <c r="U94" i="1"/>
  <c r="U155" i="1"/>
  <c r="Y155" i="1" s="1"/>
  <c r="U125" i="1"/>
  <c r="U172" i="1"/>
  <c r="Y172" i="1" s="1"/>
  <c r="U164" i="1"/>
  <c r="U99" i="1"/>
  <c r="U152" i="1"/>
  <c r="Y152" i="1" s="1"/>
  <c r="U159" i="1"/>
  <c r="U116" i="1"/>
  <c r="Y116" i="1" s="1"/>
  <c r="U140" i="1"/>
  <c r="U148" i="1"/>
  <c r="U97" i="1"/>
  <c r="Y97" i="1" s="1"/>
  <c r="U150" i="1"/>
  <c r="Y150" i="1" s="1"/>
  <c r="U133" i="1"/>
  <c r="U165" i="1"/>
  <c r="Y165" i="1" s="1"/>
  <c r="U142" i="1"/>
  <c r="U82" i="1"/>
  <c r="U141" i="1"/>
  <c r="Y141" i="1" s="1"/>
  <c r="U149" i="1"/>
  <c r="Y149" i="1" s="1"/>
  <c r="U132" i="1"/>
  <c r="U102" i="1"/>
  <c r="Y102" i="1" s="1"/>
  <c r="U109" i="1"/>
  <c r="Y109" i="1" s="1"/>
  <c r="U101" i="1"/>
  <c r="Y101" i="1" s="1"/>
  <c r="U147" i="1"/>
  <c r="Y147" i="1" s="1"/>
  <c r="U166" i="1"/>
  <c r="Y166" i="1" s="1"/>
  <c r="U161" i="1"/>
  <c r="U92" i="1"/>
  <c r="Y92" i="1" s="1"/>
  <c r="U105" i="1"/>
  <c r="Y105" i="1" s="1"/>
  <c r="U157" i="1"/>
  <c r="U151" i="1"/>
  <c r="U83" i="1"/>
  <c r="Y83" i="1" s="1"/>
  <c r="U153" i="1"/>
  <c r="Y153" i="1" s="1"/>
  <c r="U89" i="1"/>
  <c r="U158" i="1"/>
  <c r="Y158" i="1" s="1"/>
  <c r="U117" i="1"/>
  <c r="Y117" i="1" s="1"/>
  <c r="U139" i="1"/>
  <c r="U145" i="1"/>
  <c r="U126" i="1"/>
  <c r="U100" i="1"/>
  <c r="Y100" i="1" s="1"/>
  <c r="U104" i="1"/>
  <c r="U85" i="1"/>
  <c r="Y85" i="1" s="1"/>
  <c r="U107" i="1"/>
  <c r="Y107" i="1" s="1"/>
  <c r="U131" i="1"/>
  <c r="U86" i="1"/>
  <c r="U84" i="1"/>
  <c r="Y84" i="1" s="1"/>
  <c r="U129" i="1"/>
  <c r="Y129" i="1" s="1"/>
  <c r="U123" i="1"/>
  <c r="Y123" i="1" s="1"/>
  <c r="U162" i="1"/>
  <c r="Y162" i="1" s="1"/>
  <c r="U171" i="1"/>
  <c r="U163" i="1"/>
  <c r="U87" i="1"/>
  <c r="Y87" i="1" s="1"/>
  <c r="U143" i="1"/>
  <c r="U95" i="1"/>
  <c r="U60" i="1"/>
  <c r="U122" i="1"/>
  <c r="U114" i="1"/>
  <c r="U119" i="1"/>
  <c r="U103" i="1"/>
  <c r="U124" i="1"/>
  <c r="U138" i="1"/>
  <c r="Y138" i="1" s="1"/>
  <c r="U88" i="1"/>
  <c r="Y88" i="1" s="1"/>
  <c r="U146" i="1"/>
  <c r="U115" i="1"/>
  <c r="Y115" i="1" s="1"/>
  <c r="U113" i="1"/>
  <c r="U144" i="1"/>
  <c r="U130" i="1"/>
  <c r="Y130" i="1" s="1"/>
  <c r="U121" i="1"/>
  <c r="Y121" i="1" s="1"/>
  <c r="U134" i="1"/>
  <c r="Y134" i="1" s="1"/>
  <c r="U128" i="1"/>
  <c r="Y128" i="1" s="1"/>
  <c r="U106" i="1"/>
  <c r="Y106" i="1" s="1"/>
  <c r="U136" i="1"/>
  <c r="U127" i="1"/>
  <c r="U108" i="1"/>
  <c r="AA151" i="1"/>
  <c r="AC151" i="1" s="1"/>
  <c r="AA158" i="1"/>
  <c r="AC158" i="1" s="1"/>
  <c r="AA172" i="1"/>
  <c r="AC172" i="1" s="1"/>
  <c r="AA108" i="1"/>
  <c r="W27" i="1"/>
  <c r="AA141" i="1"/>
  <c r="AC141" i="1" s="1"/>
  <c r="AA88" i="1"/>
  <c r="AA143" i="1"/>
  <c r="AA104" i="1"/>
  <c r="AA160" i="1"/>
  <c r="AA91" i="1"/>
  <c r="AA89" i="1"/>
  <c r="AA97" i="1"/>
  <c r="AA168" i="1"/>
  <c r="AA154" i="1"/>
  <c r="AA101" i="1"/>
  <c r="AC101" i="1" s="1"/>
  <c r="AA94" i="1"/>
  <c r="AA137" i="1"/>
  <c r="AA138" i="1"/>
  <c r="AC138" i="1" s="1"/>
  <c r="AA136" i="1"/>
  <c r="AA131" i="1"/>
  <c r="AA86" i="1"/>
  <c r="AA87" i="1"/>
  <c r="AC87" i="1" s="1"/>
  <c r="AA166" i="1"/>
  <c r="AC166" i="1" s="1"/>
  <c r="V47" i="1" l="1"/>
  <c r="W50" i="1"/>
  <c r="W52" i="1"/>
  <c r="W43" i="1"/>
  <c r="Y99" i="1"/>
  <c r="Y143" i="1"/>
  <c r="AC108" i="1"/>
  <c r="Y108" i="1"/>
  <c r="Y159" i="1"/>
  <c r="AC97" i="1"/>
  <c r="Y126" i="1"/>
  <c r="Y113" i="1"/>
  <c r="AC88" i="1"/>
  <c r="Y104" i="1"/>
  <c r="Y91" i="1"/>
  <c r="AC104" i="1"/>
  <c r="Y156" i="1"/>
  <c r="AC113" i="1"/>
  <c r="Y95" i="1"/>
  <c r="Y132" i="1"/>
  <c r="Y125" i="1"/>
  <c r="Y118" i="1"/>
  <c r="AC143" i="1"/>
  <c r="Y171" i="1"/>
  <c r="Y142" i="1"/>
  <c r="Y154" i="1"/>
  <c r="Y93" i="1"/>
  <c r="AC160" i="1"/>
  <c r="Y157" i="1"/>
  <c r="Y160" i="1"/>
  <c r="AC157" i="1"/>
  <c r="Y119" i="1"/>
  <c r="AC154" i="1"/>
  <c r="Y127" i="1"/>
  <c r="Y114" i="1"/>
  <c r="X107" i="1"/>
  <c r="AC168" i="1"/>
  <c r="Y122" i="1"/>
  <c r="AC93" i="1"/>
  <c r="Y163" i="1"/>
  <c r="Y144" i="1"/>
  <c r="Y89" i="1"/>
  <c r="Y82" i="1"/>
  <c r="Y94" i="1"/>
  <c r="AC86" i="1"/>
  <c r="AC131" i="1"/>
  <c r="Y146" i="1"/>
  <c r="Y151" i="1"/>
  <c r="Y133" i="1"/>
  <c r="Y86" i="1"/>
  <c r="AC137" i="1"/>
  <c r="Y124" i="1"/>
  <c r="Y131" i="1"/>
  <c r="Y148" i="1"/>
  <c r="AC142" i="1"/>
  <c r="AC94" i="1"/>
  <c r="Y103" i="1"/>
  <c r="Y161" i="1"/>
  <c r="Y140" i="1"/>
  <c r="AC136" i="1"/>
  <c r="AC89" i="1"/>
  <c r="Y145" i="1"/>
  <c r="Y164" i="1"/>
  <c r="Y168" i="1"/>
  <c r="AC91" i="1"/>
  <c r="Y139" i="1"/>
  <c r="Y136" i="1"/>
  <c r="V49" i="1"/>
  <c r="W48" i="1"/>
  <c r="W51" i="1"/>
  <c r="V46" i="1"/>
  <c r="V45" i="1"/>
  <c r="T119" i="1"/>
  <c r="X119" i="1" s="1"/>
  <c r="Z111" i="1"/>
  <c r="AB111" i="1" s="1"/>
  <c r="T98" i="1"/>
  <c r="X98" i="1" s="1"/>
  <c r="Z152" i="1"/>
  <c r="AB152" i="1" s="1"/>
  <c r="Z101" i="1"/>
  <c r="AB101" i="1" s="1"/>
  <c r="T138" i="1"/>
  <c r="X138" i="1" s="1"/>
  <c r="T100" i="1"/>
  <c r="X100" i="1" s="1"/>
  <c r="Z132" i="1"/>
  <c r="AB132" i="1" s="1"/>
  <c r="T130" i="1"/>
  <c r="X130" i="1" s="1"/>
  <c r="T93" i="1"/>
  <c r="X93" i="1" s="1"/>
  <c r="T99" i="1"/>
  <c r="X99" i="1" s="1"/>
  <c r="T115" i="1"/>
  <c r="X115" i="1" s="1"/>
  <c r="T85" i="1"/>
  <c r="X85" i="1" s="1"/>
  <c r="T83" i="1"/>
  <c r="X83" i="1" s="1"/>
  <c r="T169" i="1"/>
  <c r="X169" i="1" s="1"/>
  <c r="T108" i="1"/>
  <c r="X108" i="1" s="1"/>
  <c r="Z86" i="1"/>
  <c r="AB86" i="1" s="1"/>
  <c r="T164" i="1"/>
  <c r="X164" i="1" s="1"/>
  <c r="T142" i="1"/>
  <c r="X142" i="1" s="1"/>
  <c r="T114" i="1"/>
  <c r="X114" i="1" s="1"/>
  <c r="Z87" i="1"/>
  <c r="AB87" i="1" s="1"/>
  <c r="T126" i="1"/>
  <c r="X126" i="1" s="1"/>
  <c r="T84" i="1"/>
  <c r="X84" i="1" s="1"/>
  <c r="T159" i="1"/>
  <c r="X159" i="1" s="1"/>
  <c r="T147" i="1"/>
  <c r="X147" i="1" s="1"/>
  <c r="T121" i="1"/>
  <c r="X121" i="1" s="1"/>
  <c r="Z147" i="1"/>
  <c r="AB147" i="1" s="1"/>
  <c r="T103" i="1"/>
  <c r="X103" i="1" s="1"/>
  <c r="AA146" i="1"/>
  <c r="AC146" i="1" s="1"/>
  <c r="AA117" i="1"/>
  <c r="AC117" i="1" s="1"/>
  <c r="AA119" i="1"/>
  <c r="AC119" i="1" s="1"/>
  <c r="AA164" i="1"/>
  <c r="AC164" i="1" s="1"/>
  <c r="AA125" i="1"/>
  <c r="AC125" i="1" s="1"/>
  <c r="AA115" i="1"/>
  <c r="AC115" i="1" s="1"/>
  <c r="AA171" i="1"/>
  <c r="AA127" i="1"/>
  <c r="AC127" i="1" s="1"/>
  <c r="AA114" i="1"/>
  <c r="AC114" i="1" s="1"/>
  <c r="AA163" i="1"/>
  <c r="AC163" i="1" s="1"/>
  <c r="AA130" i="1"/>
  <c r="AC130" i="1" s="1"/>
  <c r="AA83" i="1"/>
  <c r="AC83" i="1" s="1"/>
  <c r="AA145" i="1"/>
  <c r="AA100" i="1"/>
  <c r="AC100" i="1" s="1"/>
  <c r="AA123" i="1"/>
  <c r="AC123" i="1" s="1"/>
  <c r="AA140" i="1"/>
  <c r="AC140" i="1" s="1"/>
  <c r="AA85" i="1"/>
  <c r="AC85" i="1" s="1"/>
  <c r="AA149" i="1"/>
  <c r="AC149" i="1" s="1"/>
  <c r="AA156" i="1"/>
  <c r="AC156" i="1" s="1"/>
  <c r="AA116" i="1"/>
  <c r="AC116" i="1" s="1"/>
  <c r="AA92" i="1"/>
  <c r="AC92" i="1" s="1"/>
  <c r="AA159" i="1"/>
  <c r="AC159" i="1" s="1"/>
  <c r="AA133" i="1"/>
  <c r="AA118" i="1"/>
  <c r="AC118" i="1" s="1"/>
  <c r="AA167" i="1"/>
  <c r="AC167" i="1" s="1"/>
  <c r="AA144" i="1"/>
  <c r="AC144" i="1" s="1"/>
  <c r="AA155" i="1"/>
  <c r="AA109" i="1"/>
  <c r="AC109" i="1" s="1"/>
  <c r="AA121" i="1"/>
  <c r="AC121" i="1" s="1"/>
  <c r="AA152" i="1"/>
  <c r="AC152" i="1" s="1"/>
  <c r="AA95" i="1"/>
  <c r="AC95" i="1" s="1"/>
  <c r="AA148" i="1"/>
  <c r="AC148" i="1" s="1"/>
  <c r="AA102" i="1"/>
  <c r="AC102" i="1" s="1"/>
  <c r="AA99" i="1"/>
  <c r="AC99" i="1" s="1"/>
  <c r="AA169" i="1"/>
  <c r="AC169" i="1" s="1"/>
  <c r="AA96" i="1"/>
  <c r="AA110" i="1"/>
  <c r="AC110" i="1" s="1"/>
  <c r="AA103" i="1"/>
  <c r="Y96" i="1"/>
  <c r="T113" i="1"/>
  <c r="X113" i="1" s="1"/>
  <c r="AA98" i="1"/>
  <c r="AC98" i="1" s="1"/>
  <c r="Z85" i="1"/>
  <c r="AB85" i="1" s="1"/>
  <c r="T150" i="1"/>
  <c r="X150" i="1" s="1"/>
  <c r="Z155" i="1"/>
  <c r="AB155" i="1" s="1"/>
  <c r="T134" i="1"/>
  <c r="X134" i="1" s="1"/>
  <c r="Z108" i="1"/>
  <c r="AB108" i="1" s="1"/>
  <c r="T168" i="1"/>
  <c r="X168" i="1" s="1"/>
  <c r="T86" i="1"/>
  <c r="X86" i="1" s="1"/>
  <c r="Z149" i="1"/>
  <c r="AB149" i="1" s="1"/>
  <c r="T105" i="1"/>
  <c r="X105" i="1" s="1"/>
  <c r="T136" i="1"/>
  <c r="X136" i="1" s="1"/>
  <c r="T104" i="1"/>
  <c r="X104" i="1" s="1"/>
  <c r="T148" i="1"/>
  <c r="X148" i="1" s="1"/>
  <c r="T157" i="1"/>
  <c r="X157" i="1" s="1"/>
  <c r="AC133" i="1"/>
  <c r="AA82" i="1"/>
  <c r="AC82" i="1" s="1"/>
  <c r="AA111" i="1"/>
  <c r="AC111" i="1" s="1"/>
  <c r="Z93" i="1"/>
  <c r="AB93" i="1" s="1"/>
  <c r="Z134" i="1"/>
  <c r="AB134" i="1" s="1"/>
  <c r="T151" i="1"/>
  <c r="X151" i="1" s="1"/>
  <c r="T139" i="1"/>
  <c r="X139" i="1" s="1"/>
  <c r="T154" i="1"/>
  <c r="X154" i="1" s="1"/>
  <c r="T95" i="1"/>
  <c r="X95" i="1" s="1"/>
  <c r="T158" i="1"/>
  <c r="X158" i="1" s="1"/>
  <c r="AC155" i="1"/>
  <c r="T135" i="1"/>
  <c r="X135" i="1" s="1"/>
  <c r="T170" i="1"/>
  <c r="X170" i="1" s="1"/>
  <c r="T160" i="1"/>
  <c r="X160" i="1" s="1"/>
  <c r="T101" i="1"/>
  <c r="X101" i="1" s="1"/>
  <c r="T165" i="1"/>
  <c r="X165" i="1" s="1"/>
  <c r="T163" i="1"/>
  <c r="X163" i="1" s="1"/>
  <c r="T172" i="1"/>
  <c r="X172" i="1" s="1"/>
  <c r="Z162" i="1"/>
  <c r="AB162" i="1" s="1"/>
  <c r="T91" i="1"/>
  <c r="X91" i="1" s="1"/>
  <c r="T117" i="1"/>
  <c r="X117" i="1" s="1"/>
  <c r="Z136" i="1"/>
  <c r="AB136" i="1" s="1"/>
  <c r="T88" i="1"/>
  <c r="X88" i="1" s="1"/>
  <c r="T118" i="1"/>
  <c r="X118" i="1" s="1"/>
  <c r="T129" i="1"/>
  <c r="X129" i="1" s="1"/>
  <c r="T152" i="1"/>
  <c r="X152" i="1" s="1"/>
  <c r="T161" i="1"/>
  <c r="X161" i="1" s="1"/>
  <c r="AA165" i="1"/>
  <c r="AC165" i="1" s="1"/>
  <c r="T171" i="1"/>
  <c r="X171" i="1" s="1"/>
  <c r="T144" i="1"/>
  <c r="X144" i="1" s="1"/>
  <c r="T127" i="1"/>
  <c r="X127" i="1" s="1"/>
  <c r="AC96" i="1"/>
  <c r="T82" i="1"/>
  <c r="X82" i="1" s="1"/>
  <c r="AC103" i="1"/>
  <c r="W44" i="1"/>
  <c r="V44" i="1"/>
  <c r="Z84" i="1"/>
  <c r="AB84" i="1" s="1"/>
  <c r="T94" i="1"/>
  <c r="X94" i="1" s="1"/>
  <c r="T89" i="1"/>
  <c r="X89" i="1" s="1"/>
  <c r="T96" i="1"/>
  <c r="X96" i="1" s="1"/>
  <c r="T145" i="1"/>
  <c r="X145" i="1" s="1"/>
  <c r="V53" i="1"/>
  <c r="W53" i="1"/>
  <c r="T87" i="1"/>
  <c r="X87" i="1" s="1"/>
  <c r="T146" i="1"/>
  <c r="X146" i="1" s="1"/>
  <c r="T109" i="1"/>
  <c r="X109" i="1" s="1"/>
  <c r="Y137" i="1"/>
  <c r="Z139" i="1"/>
  <c r="AB139" i="1" s="1"/>
  <c r="Z98" i="1"/>
  <c r="AB98" i="1" s="1"/>
  <c r="T155" i="1"/>
  <c r="X155" i="1" s="1"/>
  <c r="Z167" i="1"/>
  <c r="AB167" i="1" s="1"/>
  <c r="T137" i="1"/>
  <c r="X137" i="1" s="1"/>
  <c r="T131" i="1"/>
  <c r="X131" i="1" s="1"/>
  <c r="T124" i="1"/>
  <c r="X124" i="1" s="1"/>
  <c r="T116" i="1"/>
  <c r="X116" i="1" s="1"/>
  <c r="T106" i="1"/>
  <c r="X106" i="1" s="1"/>
  <c r="T166" i="1"/>
  <c r="X166" i="1" s="1"/>
  <c r="T112" i="1"/>
  <c r="X112" i="1" s="1"/>
  <c r="T133" i="1"/>
  <c r="X133" i="1" s="1"/>
  <c r="AA122" i="1"/>
  <c r="AC122" i="1" s="1"/>
  <c r="AA120" i="1"/>
  <c r="AC120" i="1" s="1"/>
  <c r="AA128" i="1"/>
  <c r="AC128" i="1" s="1"/>
  <c r="AA153" i="1"/>
  <c r="AC153" i="1" s="1"/>
  <c r="AA126" i="1"/>
  <c r="AC126" i="1" s="1"/>
  <c r="AA170" i="1"/>
  <c r="AC170" i="1" s="1"/>
  <c r="AA112" i="1"/>
  <c r="AC112" i="1" s="1"/>
  <c r="AA135" i="1"/>
  <c r="AC135" i="1" s="1"/>
  <c r="AA147" i="1"/>
  <c r="AC147" i="1" s="1"/>
  <c r="AA132" i="1"/>
  <c r="AC132" i="1" s="1"/>
  <c r="AA134" i="1"/>
  <c r="AC134" i="1" s="1"/>
  <c r="AA105" i="1"/>
  <c r="AC105" i="1" s="1"/>
  <c r="AA139" i="1"/>
  <c r="AC139" i="1" s="1"/>
  <c r="AA124" i="1"/>
  <c r="AC124" i="1" s="1"/>
  <c r="AA161" i="1"/>
  <c r="AC161" i="1" s="1"/>
  <c r="AA107" i="1"/>
  <c r="AC107" i="1" s="1"/>
  <c r="T125" i="1"/>
  <c r="X125" i="1" s="1"/>
  <c r="T149" i="1"/>
  <c r="X149" i="1" s="1"/>
  <c r="T128" i="1"/>
  <c r="X128" i="1" s="1"/>
  <c r="T90" i="1"/>
  <c r="X90" i="1" s="1"/>
  <c r="Y98" i="1"/>
  <c r="AC171" i="1"/>
  <c r="T120" i="1"/>
  <c r="X120" i="1" s="1"/>
  <c r="T141" i="1"/>
  <c r="X141" i="1" s="1"/>
  <c r="T111" i="1"/>
  <c r="X111" i="1" s="1"/>
  <c r="Z171" i="1"/>
  <c r="AB171" i="1" s="1"/>
  <c r="T92" i="1"/>
  <c r="X92" i="1" s="1"/>
  <c r="T153" i="1"/>
  <c r="X153" i="1" s="1"/>
  <c r="T110" i="1"/>
  <c r="X110" i="1" s="1"/>
  <c r="AC145" i="1"/>
  <c r="AA84" i="1"/>
  <c r="AC84" i="1" s="1"/>
  <c r="T122" i="1"/>
  <c r="X122" i="1" s="1"/>
  <c r="T123" i="1"/>
  <c r="X123" i="1" s="1"/>
  <c r="T143" i="1"/>
  <c r="X143" i="1" s="1"/>
  <c r="Z97" i="1"/>
  <c r="AB97" i="1" s="1"/>
  <c r="T132" i="1"/>
  <c r="X132" i="1" s="1"/>
  <c r="Z159" i="1"/>
  <c r="AB159" i="1" s="1"/>
  <c r="Z160" i="1"/>
  <c r="AB160" i="1" s="1"/>
  <c r="T156" i="1"/>
  <c r="X156" i="1" s="1"/>
  <c r="T102" i="1"/>
  <c r="X102" i="1" s="1"/>
  <c r="T162" i="1"/>
  <c r="X162" i="1" s="1"/>
  <c r="T167" i="1"/>
  <c r="X167" i="1" s="1"/>
  <c r="T97" i="1"/>
  <c r="X97" i="1" s="1"/>
  <c r="T140" i="1"/>
  <c r="X140" i="1" s="1"/>
  <c r="Y111" i="1"/>
  <c r="Z140" i="1"/>
  <c r="AB140" i="1" s="1"/>
  <c r="Z126" i="1"/>
  <c r="AB126" i="1" s="1"/>
  <c r="Z143" i="1"/>
  <c r="AB143" i="1" s="1"/>
  <c r="Z165" i="1"/>
  <c r="AB165" i="1" s="1"/>
  <c r="Z168" i="1"/>
  <c r="AB168" i="1" s="1"/>
  <c r="Z141" i="1"/>
  <c r="AB141" i="1" s="1"/>
  <c r="Z125" i="1"/>
  <c r="AB125" i="1" s="1"/>
  <c r="Z135" i="1"/>
  <c r="AB135" i="1" s="1"/>
  <c r="Z137" i="1"/>
  <c r="AB137" i="1" s="1"/>
  <c r="Z82" i="1"/>
  <c r="AB82" i="1" s="1"/>
  <c r="Z154" i="1"/>
  <c r="AB154" i="1" s="1"/>
  <c r="Z92" i="1"/>
  <c r="AB92" i="1" s="1"/>
  <c r="Z133" i="1"/>
  <c r="AB133" i="1" s="1"/>
  <c r="Z157" i="1"/>
  <c r="AB157" i="1" s="1"/>
  <c r="Z172" i="1"/>
  <c r="AB172" i="1" s="1"/>
  <c r="Z117" i="1"/>
  <c r="AB117" i="1" s="1"/>
  <c r="Z96" i="1"/>
  <c r="AB96" i="1" s="1"/>
  <c r="Z166" i="1"/>
  <c r="AB166" i="1" s="1"/>
  <c r="Z113" i="1"/>
  <c r="AB113" i="1" s="1"/>
  <c r="Z138" i="1"/>
  <c r="AB138" i="1" s="1"/>
  <c r="Z170" i="1"/>
  <c r="AB170" i="1" s="1"/>
  <c r="Z105" i="1"/>
  <c r="AB105" i="1" s="1"/>
  <c r="Z156" i="1"/>
  <c r="AB156" i="1" s="1"/>
  <c r="Z119" i="1"/>
  <c r="AB119" i="1" s="1"/>
  <c r="Z148" i="1"/>
  <c r="AB148" i="1" s="1"/>
  <c r="Z161" i="1"/>
  <c r="AB161" i="1" s="1"/>
  <c r="Z144" i="1"/>
  <c r="AB144" i="1" s="1"/>
  <c r="Z102" i="1"/>
  <c r="AB102" i="1" s="1"/>
  <c r="Z153" i="1"/>
  <c r="AB153" i="1" s="1"/>
  <c r="Z151" i="1"/>
  <c r="AB151" i="1" s="1"/>
  <c r="Z127" i="1"/>
  <c r="AB127" i="1" s="1"/>
  <c r="Z83" i="1"/>
  <c r="AB83" i="1" s="1"/>
  <c r="Z169" i="1"/>
  <c r="AB169" i="1" s="1"/>
  <c r="Z110" i="1"/>
  <c r="AB110" i="1" s="1"/>
  <c r="Z106" i="1"/>
  <c r="AB106" i="1" s="1"/>
  <c r="Z116" i="1"/>
  <c r="AB116" i="1" s="1"/>
  <c r="Z124" i="1"/>
  <c r="AB124" i="1" s="1"/>
  <c r="Z121" i="1"/>
  <c r="AB121" i="1" s="1"/>
  <c r="Z91" i="1"/>
  <c r="AB91" i="1" s="1"/>
  <c r="Z142" i="1"/>
  <c r="AB142" i="1" s="1"/>
  <c r="Z89" i="1"/>
  <c r="AB89" i="1" s="1"/>
  <c r="Z128" i="1"/>
  <c r="AB128" i="1" s="1"/>
  <c r="Z146" i="1"/>
  <c r="AB146" i="1" s="1"/>
  <c r="Z90" i="1"/>
  <c r="AB90" i="1" s="1"/>
  <c r="Z114" i="1"/>
  <c r="AB114" i="1" s="1"/>
  <c r="Z145" i="1"/>
  <c r="AB145" i="1" s="1"/>
  <c r="Z120" i="1"/>
  <c r="AB120" i="1" s="1"/>
  <c r="Z88" i="1"/>
  <c r="AB88" i="1" s="1"/>
  <c r="Z131" i="1"/>
  <c r="AB131" i="1" s="1"/>
  <c r="Z112" i="1"/>
  <c r="AB112" i="1" s="1"/>
  <c r="Z118" i="1"/>
  <c r="AB118" i="1" s="1"/>
  <c r="Z104" i="1"/>
  <c r="AB104" i="1" s="1"/>
  <c r="Z122" i="1"/>
  <c r="AB122" i="1" s="1"/>
  <c r="Z130" i="1"/>
  <c r="AB130" i="1" s="1"/>
  <c r="Z163" i="1"/>
  <c r="AB163" i="1" s="1"/>
  <c r="Z99" i="1"/>
  <c r="AB99" i="1" s="1"/>
  <c r="Z100" i="1"/>
  <c r="AB100" i="1" s="1"/>
  <c r="Z150" i="1"/>
  <c r="AB150" i="1" s="1"/>
  <c r="Z95" i="1"/>
  <c r="AB95" i="1" s="1"/>
  <c r="Z158" i="1"/>
  <c r="AB158" i="1" s="1"/>
  <c r="Z115" i="1"/>
  <c r="AB115" i="1" s="1"/>
  <c r="Z103" i="1"/>
  <c r="AB103" i="1" s="1"/>
  <c r="Z107" i="1"/>
  <c r="AB107" i="1" s="1"/>
  <c r="Z109" i="1"/>
  <c r="AB109" i="1" s="1"/>
  <c r="Z123" i="1"/>
  <c r="AB123" i="1" s="1"/>
  <c r="Z94" i="1"/>
  <c r="AB94" i="1" s="1"/>
  <c r="Z129" i="1"/>
  <c r="AB129" i="1" s="1"/>
  <c r="Z164" i="1"/>
  <c r="AB16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csylhk</author>
    <author>c</author>
  </authors>
  <commentList>
    <comment ref="I13" authorId="0" shapeId="0" xr:uid="{00000000-0006-0000-0000-000001000000}">
      <text>
        <r>
          <rPr>
            <sz val="8"/>
            <color indexed="81"/>
            <rFont val="Tahoma"/>
            <family val="2"/>
          </rPr>
          <t xml:space="preserve">The maximum operating voltage of LM5117 is 65V.
The maximum operating voltage of LM25117 is 42V.
</t>
        </r>
      </text>
    </comment>
    <comment ref="I14" authorId="0" shapeId="0" xr:uid="{00000000-0006-0000-0000-000002000000}">
      <text>
        <r>
          <rPr>
            <sz val="8"/>
            <color indexed="81"/>
            <rFont val="Tahoma"/>
            <family val="2"/>
          </rPr>
          <t xml:space="preserve">The minimum input voltage of LM5117 is 5.5V.See LM5117 datasheet If the minimum input voltage is below 6.0V. 
The minimum input voltage of LM25117 is 4.5V.See LM25117 datasheet if the minimum input voltage is below 5.0V
</t>
        </r>
      </text>
    </comment>
    <comment ref="I15" authorId="0" shapeId="0" xr:uid="{00000000-0006-0000-0000-000003000000}">
      <text>
        <r>
          <rPr>
            <sz val="8"/>
            <color indexed="81"/>
            <rFont val="Tahoma"/>
            <family val="2"/>
          </rPr>
          <t xml:space="preserve">Maximum and minimum output voltage is limited by minimum HO on-time and minimum HO off-time 
</t>
        </r>
      </text>
    </comment>
    <comment ref="I16" authorId="0" shapeId="0" xr:uid="{00000000-0006-0000-0000-000004000000}">
      <text>
        <r>
          <rPr>
            <sz val="8"/>
            <color indexed="81"/>
            <rFont val="Tahoma"/>
            <family val="2"/>
          </rPr>
          <t xml:space="preserve">This is the maximum average load current required by the application.  </t>
        </r>
      </text>
    </comment>
    <comment ref="I21" authorId="0" shapeId="0" xr:uid="{00000000-0006-0000-0000-000005000000}">
      <text>
        <r>
          <rPr>
            <sz val="8"/>
            <color indexed="81"/>
            <rFont val="Tahoma"/>
            <family val="2"/>
          </rPr>
          <t xml:space="preserve">Selection of the operating frequency is a trade-off between the conversion efficiency and component sizes.  Operating at a high frequency with a relatively high input voltage will reduce the efficiency and generate more heat. In some applications, the selection of a high operating frequency will limint the maximum and minimum input voltage. The maximum switching frequency of LM(2)5117 is 750kHz.
</t>
        </r>
      </text>
    </comment>
    <comment ref="I28" authorId="0" shapeId="0" xr:uid="{00000000-0006-0000-0000-000006000000}">
      <text>
        <r>
          <rPr>
            <sz val="8"/>
            <color indexed="81"/>
            <rFont val="Tahoma"/>
            <family val="2"/>
          </rPr>
          <t xml:space="preserve">The maximum inductor ripple current occurs at the maximum input voltage. Typically, 20% to 40% of the full load current is a good compromise between core loss and copper loss of the inductor. Higher ripple current allows for a smaller inductor size, but places more of a burden on the output capacitor to smooth the ripple voltage on the output. </t>
        </r>
      </text>
    </comment>
    <comment ref="I30" authorId="0" shapeId="0" xr:uid="{00000000-0006-0000-0000-000007000000}">
      <text>
        <r>
          <rPr>
            <sz val="8"/>
            <color indexed="81"/>
            <rFont val="Tahoma"/>
            <family val="2"/>
          </rPr>
          <t>Select the nearest standard inductor value.  During an overload condition the peak inductor current will reach the current limit threshold.  The selected inductor must have sufficient current capability to withstand a short curcuit condition.</t>
        </r>
      </text>
    </comment>
    <comment ref="I31" authorId="0" shapeId="0" xr:uid="{00000000-0006-0000-0000-000008000000}">
      <text>
        <r>
          <rPr>
            <sz val="8"/>
            <color indexed="81"/>
            <rFont val="Tahoma"/>
            <family val="2"/>
          </rPr>
          <t>In Diode Emulation Mode, the regulator works in discontinuous conduction mode if output current is below this level.</t>
        </r>
      </text>
    </comment>
    <comment ref="I32" authorId="0" shapeId="0" xr:uid="{00000000-0006-0000-0000-000009000000}">
      <text>
        <r>
          <rPr>
            <sz val="8"/>
            <color indexed="81"/>
            <rFont val="Tahoma"/>
            <family val="2"/>
          </rPr>
          <t>In Diode Emulation Mode, the regulator works in discontinuous conduction mode if output current is below this level.</t>
        </r>
      </text>
    </comment>
    <comment ref="I36" authorId="1" shapeId="0" xr:uid="{00000000-0006-0000-0000-00000A000000}">
      <text>
        <r>
          <rPr>
            <sz val="8"/>
            <color indexed="81"/>
            <rFont val="Tahoma"/>
            <family val="2"/>
          </rPr>
          <t>Some margin beyond the maximum load current is recommended for the current limit threshold.  Usually, 20% is a safe minimum number to guarantee desired current capability with normal tolerances.</t>
        </r>
      </text>
    </comment>
    <comment ref="I37" authorId="0" shapeId="0" xr:uid="{00000000-0006-0000-0000-00000B000000}">
      <text>
        <r>
          <rPr>
            <sz val="8"/>
            <color indexed="81"/>
            <rFont val="Tahoma"/>
            <family val="2"/>
          </rPr>
          <t>The recommended value of the K factor is between 1 and 3.  The larger the number, the greater the slope compensation.  See the datasheet for details.</t>
        </r>
      </text>
    </comment>
    <comment ref="I42" authorId="0" shapeId="0" xr:uid="{00000000-0006-0000-0000-00000C000000}">
      <text>
        <r>
          <rPr>
            <sz val="8"/>
            <color indexed="81"/>
            <rFont val="Tahoma"/>
            <family val="2"/>
          </rPr>
          <t xml:space="preserve">If the saturation current of the inductor is less than this value , the peak inductor current during output short condition may be higher than this value. The temperatures of NMOSs, current sense resistor and inductor should be checked under this condition. For the case where the switch current overshoots when the inductor is saturated or the output is shorted to ground, the sample-and-hold circuit detects the excess recirculating current before the high-side NMOS is turned on again. The high-side NMOS is disabled and will skip pulses until the current has decayed below the current limit threshold. This approach prevents current runaway conditions since the inductor current is forced to decay to a controlled level following any current overshoot.
</t>
        </r>
      </text>
    </comment>
    <comment ref="I43" authorId="0" shapeId="0" xr:uid="{00000000-0006-0000-0000-00000D000000}">
      <text>
        <r>
          <rPr>
            <sz val="8"/>
            <color indexed="81"/>
            <rFont val="Tahoma"/>
            <family val="2"/>
          </rPr>
          <t>This is the maximum power dissipation at full load. The power rating of the sense resistor should be high enough to handle the power dissipation in a fault condition. Hiccup mode overload protection helps to derate the required power rating.</t>
        </r>
      </text>
    </comment>
    <comment ref="I47" authorId="0" shapeId="0" xr:uid="{00000000-0006-0000-0000-00000E000000}">
      <text>
        <r>
          <rPr>
            <sz val="8"/>
            <color indexed="81"/>
            <rFont val="Tahoma"/>
            <family val="2"/>
          </rPr>
          <t>Maximum allowable value is 2nF.</t>
        </r>
      </text>
    </comment>
    <comment ref="I52" authorId="0" shapeId="0" xr:uid="{00000000-0006-0000-0000-00000F000000}">
      <text>
        <r>
          <rPr>
            <sz val="8"/>
            <color indexed="81"/>
            <rFont val="Tahoma"/>
            <family val="2"/>
          </rPr>
          <t xml:space="preserve">The desired minimum start-up voltage should be lower than the minimum input voltage. </t>
        </r>
      </text>
    </comment>
    <comment ref="I53" authorId="0" shapeId="0" xr:uid="{00000000-0006-0000-0000-000010000000}">
      <text>
        <r>
          <rPr>
            <sz val="8"/>
            <color indexed="81"/>
            <rFont val="Tahoma"/>
            <family val="2"/>
          </rPr>
          <t>The full-load to no-load or no-load-to full-load trasient performance of the  source power supply determines the desired UV hysteresis.</t>
        </r>
      </text>
    </comment>
    <comment ref="I54" authorId="0" shapeId="0" xr:uid="{00000000-0006-0000-0000-000011000000}">
      <text>
        <r>
          <rPr>
            <sz val="8"/>
            <color indexed="81"/>
            <rFont val="Tahoma"/>
            <family val="2"/>
          </rPr>
          <t>The larger value of RUV2 resistor helps to minimize the loss at no load current.</t>
        </r>
      </text>
    </comment>
    <comment ref="I56" authorId="0" shapeId="0" xr:uid="{00000000-0006-0000-0000-000012000000}">
      <text>
        <r>
          <rPr>
            <sz val="8"/>
            <color indexed="81"/>
            <rFont val="Tahoma"/>
            <family val="2"/>
          </rPr>
          <t xml:space="preserve">The CFT capacitor helps reduce switching noise injection into the UVLO pin, but may slow the rate at which the voltage on the UVLO pin decreases when the 20μA current source is disabled. The recommended range for CFT is 10pF to 220pF. </t>
        </r>
      </text>
    </comment>
    <comment ref="I60" authorId="0" shapeId="0" xr:uid="{00000000-0006-0000-0000-000013000000}">
      <text>
        <r>
          <rPr>
            <sz val="8"/>
            <color indexed="81"/>
            <rFont val="Tahoma"/>
            <family val="2"/>
          </rPr>
          <t>Enter this value from the MOSFET datasheet.</t>
        </r>
      </text>
    </comment>
    <comment ref="I61" authorId="0" shapeId="0" xr:uid="{00000000-0006-0000-0000-000014000000}">
      <text>
        <r>
          <rPr>
            <sz val="8"/>
            <color indexed="81"/>
            <rFont val="Tahoma"/>
            <family val="2"/>
          </rPr>
          <t>Enter this value from the MOSFET datasheet.</t>
        </r>
      </text>
    </comment>
    <comment ref="I66" authorId="0" shapeId="0" xr:uid="{00000000-0006-0000-0000-000015000000}">
      <text>
        <r>
          <rPr>
            <sz val="8"/>
            <color indexed="81"/>
            <rFont val="Tahoma"/>
            <family val="2"/>
          </rPr>
          <t>The bootstrap capacitor the gate current to charge the high-side NMOS device gate during each cycle’s turn-on and also supplies recovery charge for the bootstrap diode. These current peaks can be several amperes. The bootstrap capacitor should be at least 0.1μF. CHB should be a good quality, low ESR, ceramic capacitor.</t>
        </r>
      </text>
    </comment>
    <comment ref="I67" authorId="0" shapeId="0" xr:uid="{00000000-0006-0000-0000-000016000000}">
      <text>
        <r>
          <rPr>
            <sz val="8"/>
            <color indexed="81"/>
            <rFont val="Tahoma"/>
            <family val="2"/>
          </rPr>
          <t>The VCC capacitor (CVCC) supplies the peak transient currents for the LO driver and bootstrap diode and provides stability for the VCC regulator. These peak currents can be several amperes. CVCC should be  greater than 0.47μF, and should be a good quality, low ESR, ceramic capacitor.</t>
        </r>
      </text>
    </comment>
    <comment ref="I71" authorId="0" shapeId="0" xr:uid="{00000000-0006-0000-0000-000017000000}">
      <text>
        <r>
          <rPr>
            <sz val="8"/>
            <color indexed="81"/>
            <rFont val="Tahoma"/>
            <family val="2"/>
          </rPr>
          <t>The output capacitor(s) smooth the inductor ripple current and provide a source of charge for transient loads.  The output capacitor voltage rating should be greater than Vout plus some safety margin.  The output capacitor(s) and associated ESR set the output ripple voltage.</t>
        </r>
      </text>
    </comment>
    <comment ref="I73" authorId="0" shapeId="0" xr:uid="{00000000-0006-0000-0000-000018000000}">
      <text>
        <r>
          <rPr>
            <sz val="8"/>
            <color indexed="81"/>
            <rFont val="Tahoma"/>
            <family val="2"/>
          </rPr>
          <t>The value of ESR is used to calculate the output ripple voltage and is used in the closed loop compensation calculations.</t>
        </r>
      </text>
    </comment>
    <comment ref="I75" authorId="0" shapeId="0" xr:uid="{00000000-0006-0000-0000-000019000000}">
      <text>
        <r>
          <rPr>
            <sz val="8"/>
            <color indexed="81"/>
            <rFont val="Tahoma"/>
            <family val="2"/>
          </rPr>
          <t>A small ripple voltage requires some combination of  larger output capacitors,  higher switching frequency or a lower ESR.</t>
        </r>
      </text>
    </comment>
    <comment ref="I80" authorId="1" shapeId="0" xr:uid="{00000000-0006-0000-0000-00001A000000}">
      <text>
        <r>
          <rPr>
            <sz val="8"/>
            <color indexed="81"/>
            <rFont val="Tahoma"/>
            <family val="2"/>
          </rPr>
          <t xml:space="preserve">The input capacitor(s) smooth the input ripple voltage. </t>
        </r>
      </text>
    </comment>
    <comment ref="I81" authorId="1" shapeId="0" xr:uid="{00000000-0006-0000-0000-00001B000000}">
      <text>
        <r>
          <rPr>
            <sz val="8"/>
            <color indexed="81"/>
            <rFont val="Tahoma"/>
            <family val="2"/>
          </rPr>
          <t>Peak-to-peak input voltage ripple is recommended to be below 0.7V</t>
        </r>
      </text>
    </comment>
    <comment ref="I82" authorId="0" shapeId="0" xr:uid="{00000000-0006-0000-0000-00001C000000}">
      <text>
        <r>
          <rPr>
            <sz val="8"/>
            <color indexed="81"/>
            <rFont val="Tahoma"/>
            <family val="2"/>
          </rPr>
          <t>Capacitors connected in parallel should be evaluated for RMS current rating. The current will split between the input capacitors based on the relative impedance of the capacitors at the switching frequency.</t>
        </r>
      </text>
    </comment>
    <comment ref="I86" authorId="0" shapeId="0" xr:uid="{00000000-0006-0000-0000-00001D000000}">
      <text>
        <r>
          <rPr>
            <sz val="8"/>
            <color indexed="81"/>
            <rFont val="Tahoma"/>
            <family val="2"/>
          </rPr>
          <t>This is the time for the reference voltage and output voltage to reach their final value.  It should be substantially longer than the time required to charge Cout to Vout at the maximum output current.</t>
        </r>
      </text>
    </comment>
    <comment ref="I91" authorId="0" shapeId="0" xr:uid="{00000000-0006-0000-0000-00001E000000}">
      <text>
        <r>
          <rPr>
            <sz val="8"/>
            <color indexed="81"/>
            <rFont val="Tahoma"/>
            <family val="2"/>
          </rPr>
          <t>Restart time is the off time between hiccup cycles and determines the power dissipation in current limit.</t>
        </r>
      </text>
    </comment>
    <comment ref="I96" authorId="0" shapeId="0" xr:uid="{00000000-0006-0000-0000-00001F000000}">
      <text>
        <r>
          <rPr>
            <sz val="8"/>
            <color indexed="81"/>
            <rFont val="Tahoma"/>
            <family val="2"/>
          </rPr>
          <t xml:space="preserve">RFB2 should be large enough to keep the total divider power dissipation small.
</t>
        </r>
      </text>
    </comment>
    <comment ref="I101" authorId="0" shapeId="0" xr:uid="{00000000-0006-0000-0000-000020000000}">
      <text>
        <r>
          <rPr>
            <sz val="8"/>
            <color indexed="81"/>
            <rFont val="Tahoma"/>
            <family val="2"/>
          </rPr>
          <t>Enter the bandwith for the converter.  The bandwidth should be at least an order of magnitude less than the switching frequency.</t>
        </r>
      </text>
    </comment>
    <comment ref="I103" authorId="0" shapeId="0" xr:uid="{00000000-0006-0000-0000-000021000000}">
      <text>
        <r>
          <rPr>
            <sz val="8"/>
            <color indexed="81"/>
            <rFont val="Tahoma"/>
            <family val="2"/>
          </rPr>
          <t xml:space="preserve">Select the nearest standard value. The value between 2K to 40K ohm is recommended.
</t>
        </r>
      </text>
    </comment>
    <comment ref="I105" authorId="0" shapeId="0" xr:uid="{00000000-0006-0000-0000-000022000000}">
      <text>
        <r>
          <rPr>
            <sz val="8"/>
            <color indexed="81"/>
            <rFont val="Tahoma"/>
            <family val="2"/>
          </rPr>
          <t>Select the nearest standard value.</t>
        </r>
      </text>
    </comment>
    <comment ref="I108" authorId="0" shapeId="0" xr:uid="{00000000-0006-0000-0000-000023000000}">
      <text>
        <r>
          <rPr>
            <sz val="8"/>
            <color indexed="81"/>
            <rFont val="Tahoma"/>
            <family val="2"/>
          </rPr>
          <t xml:space="preserve">Select a standard value for CHF that is between Min CHF and Max CHF. Check the stability by the ESR.
</t>
        </r>
      </text>
    </comment>
    <comment ref="G112" authorId="0" shapeId="0" xr:uid="{00000000-0006-0000-0000-000024000000}">
      <text>
        <r>
          <rPr>
            <sz val="8"/>
            <color indexed="81"/>
            <rFont val="Tahoma"/>
            <family val="2"/>
          </rPr>
          <t>By using an external VCC supply, the temperature and the loss of LM(2)5117 are reduced, especially at high input voltage.</t>
        </r>
      </text>
    </comment>
    <comment ref="I114" authorId="0" shapeId="0" xr:uid="{00000000-0006-0000-0000-000025000000}">
      <text>
        <r>
          <rPr>
            <sz val="8"/>
            <color indexed="81"/>
            <rFont val="Tahoma"/>
            <family val="2"/>
          </rPr>
          <t>Enter this value from the MOSFET datasheet.</t>
        </r>
      </text>
    </comment>
    <comment ref="I115" authorId="0" shapeId="0" xr:uid="{00000000-0006-0000-0000-000026000000}">
      <text>
        <r>
          <rPr>
            <sz val="8"/>
            <color indexed="81"/>
            <rFont val="Tahoma"/>
            <family val="2"/>
          </rPr>
          <t>Enter this value from the MOSFET datasheet.</t>
        </r>
      </text>
    </comment>
    <comment ref="I116" authorId="0" shapeId="0" xr:uid="{00000000-0006-0000-0000-000027000000}">
      <text>
        <r>
          <rPr>
            <sz val="8"/>
            <color indexed="81"/>
            <rFont val="Tahoma"/>
            <family val="2"/>
          </rPr>
          <t>Enter this value from the MOSFET datasheet.</t>
        </r>
      </text>
    </comment>
    <comment ref="I117" authorId="0" shapeId="0" xr:uid="{00000000-0006-0000-0000-000028000000}">
      <text>
        <r>
          <rPr>
            <sz val="8"/>
            <color indexed="81"/>
            <rFont val="Tahoma"/>
            <family val="2"/>
          </rPr>
          <t>Enter this value from the MOSFET datasheet.</t>
        </r>
      </text>
    </comment>
  </commentList>
</comments>
</file>

<file path=xl/sharedStrings.xml><?xml version="1.0" encoding="utf-8"?>
<sst xmlns="http://schemas.openxmlformats.org/spreadsheetml/2006/main" count="227" uniqueCount="211">
  <si>
    <t>LM(2)5117 Wide Input Range Synchronous Buck Controller with Analog Current Monitor</t>
  </si>
  <si>
    <t>Step 1 - General  Requirements</t>
  </si>
  <si>
    <t>Recommended IC</t>
  </si>
  <si>
    <t>Step 2 - Switching Frequency</t>
  </si>
  <si>
    <t>Step 3 - Inductor Value</t>
  </si>
  <si>
    <t>Step 4 - Current Limit</t>
  </si>
  <si>
    <t>K Factor</t>
  </si>
  <si>
    <t>Step 5 - Ramp Configuration</t>
  </si>
  <si>
    <t>Step 6 -VIN UV Shutdown</t>
  </si>
  <si>
    <t>Gate charging current [mA]</t>
  </si>
  <si>
    <t>Step 7 -NMOS gate charge</t>
  </si>
  <si>
    <t>Step 8 -Bootstrap capacitor and VCC capacitor</t>
  </si>
  <si>
    <t>Step 9 -Output Capacitors</t>
  </si>
  <si>
    <t>Step 10 -Input Capacitors</t>
  </si>
  <si>
    <t>Step 11 -Soft Start</t>
  </si>
  <si>
    <t>Step 12 - Hiccup mode restart time</t>
  </si>
  <si>
    <t>Step 14 - Compensation Network</t>
  </si>
  <si>
    <t>Step 13 - Feedback Resistors</t>
  </si>
  <si>
    <t>Step 14 - Controller Power Dissipation</t>
  </si>
  <si>
    <t>Ambient temperature [ºC]</t>
  </si>
  <si>
    <t>RMS output current ripple [A]</t>
  </si>
  <si>
    <t>Peak-Peak input voltage ripple [V]</t>
  </si>
  <si>
    <t>RMS input current ripple [A]</t>
  </si>
  <si>
    <t>mintoff</t>
  </si>
  <si>
    <t>minton</t>
  </si>
  <si>
    <t>vcsth</t>
  </si>
  <si>
    <t>Max ripple current % of full load current [%]</t>
  </si>
  <si>
    <t>as</t>
  </si>
  <si>
    <t>ihys</t>
  </si>
  <si>
    <t>uvloth</t>
  </si>
  <si>
    <t>Peak-Peak output voltage ripple @VIN(MAX) [mV]</t>
  </si>
  <si>
    <t>iss</t>
  </si>
  <si>
    <t>ires</t>
  </si>
  <si>
    <t>resth</t>
  </si>
  <si>
    <t>absmin</t>
  </si>
  <si>
    <t>icclimit</t>
  </si>
  <si>
    <t>tsslimit</t>
  </si>
  <si>
    <t>treslimit</t>
  </si>
  <si>
    <t>Fz_esr</t>
  </si>
  <si>
    <t xml:space="preserve">To further optimize the design, please visit: </t>
  </si>
  <si>
    <t>http://webench.national.com/</t>
  </si>
  <si>
    <t xml:space="preserve">Optimization graphs, charts, and electrical/thermal simulation capabilites are available. </t>
  </si>
  <si>
    <t xml:space="preserve">Note: The WEBENCH recommended BOM may be different than what is recommended in this spreadsheet. </t>
  </si>
  <si>
    <t>LIST OF COMPONENTS AND PARAMETERS</t>
  </si>
  <si>
    <t>Yes</t>
  </si>
  <si>
    <t>No</t>
  </si>
  <si>
    <t>Fp_lf</t>
  </si>
  <si>
    <t>fsw*1000</t>
  </si>
  <si>
    <t>Q</t>
  </si>
  <si>
    <t>fcrossmax</t>
  </si>
  <si>
    <t>flc</t>
  </si>
  <si>
    <t>Ivin_oper</t>
  </si>
  <si>
    <t>vrt</t>
  </si>
  <si>
    <t>rvcc</t>
  </si>
  <si>
    <t>Ivcc</t>
  </si>
  <si>
    <t>theta_tssop</t>
  </si>
  <si>
    <t>theta_llp</t>
  </si>
  <si>
    <t>Typical High-side MOSFET Cgs (pF)</t>
  </si>
  <si>
    <t>Typical High-side MOSFET Cgd (pF)</t>
  </si>
  <si>
    <t>Typical Low-side MOSFET Cgs (pF)</t>
  </si>
  <si>
    <t>Typical Low-side MOSFET Cgd (pF)</t>
  </si>
  <si>
    <t>VIN</t>
  </si>
  <si>
    <t>ICLOSS</t>
  </si>
  <si>
    <t>TSSOP</t>
  </si>
  <si>
    <t>LLP</t>
  </si>
  <si>
    <t>Description</t>
  </si>
  <si>
    <t>Value</t>
  </si>
  <si>
    <t>Min Rating</t>
  </si>
  <si>
    <t>Components</t>
  </si>
  <si>
    <t>IC</t>
  </si>
  <si>
    <t>Optional filter capacitor</t>
  </si>
  <si>
    <t>RAMP capacitor</t>
  </si>
  <si>
    <t>Compensation Capacitor</t>
  </si>
  <si>
    <t>Softstart capacitor</t>
  </si>
  <si>
    <t>Restart capacitor</t>
  </si>
  <si>
    <t>VCC capacitor</t>
  </si>
  <si>
    <t>Bootstrap capacitor</t>
  </si>
  <si>
    <t>Output capacitor</t>
  </si>
  <si>
    <t>UVLO divider resistor</t>
  </si>
  <si>
    <t>RAMP resistor</t>
  </si>
  <si>
    <t>Feedback divider resistor</t>
  </si>
  <si>
    <t>Compensation Resistor</t>
  </si>
  <si>
    <t>Oscillator timing resistor</t>
  </si>
  <si>
    <t>Current sense resistor</t>
  </si>
  <si>
    <t>Input capacitor</t>
  </si>
  <si>
    <t>Output inductor</t>
  </si>
  <si>
    <t>Bootstrap diode</t>
  </si>
  <si>
    <t>NMOS</t>
  </si>
  <si>
    <t>Buck controller</t>
  </si>
  <si>
    <t>FSW/100</t>
  </si>
  <si>
    <t>1/16W</t>
  </si>
  <si>
    <t>Am</t>
  </si>
  <si>
    <t>Rload</t>
  </si>
  <si>
    <t>wp_hf</t>
  </si>
  <si>
    <t>wp_lf</t>
  </si>
  <si>
    <t>fp_hf</t>
  </si>
  <si>
    <t>fp_lf</t>
  </si>
  <si>
    <t>wz_esr</t>
  </si>
  <si>
    <t>wp_esr</t>
  </si>
  <si>
    <t>cout1_cout2</t>
  </si>
  <si>
    <t>wn</t>
  </si>
  <si>
    <t>fz_esr</t>
  </si>
  <si>
    <t>fp_esr</t>
  </si>
  <si>
    <t>fn</t>
  </si>
  <si>
    <t>K</t>
  </si>
  <si>
    <t>Modulator Transfer Function</t>
  </si>
  <si>
    <t>Feedback Transfer Function</t>
  </si>
  <si>
    <t>Afb</t>
  </si>
  <si>
    <t>wp_ea</t>
  </si>
  <si>
    <t>wz_ea</t>
  </si>
  <si>
    <t>ccomp_chf</t>
  </si>
  <si>
    <t>fp_ea</t>
  </si>
  <si>
    <t>fz_ea</t>
  </si>
  <si>
    <t>References</t>
  </si>
  <si>
    <t>f_lc</t>
  </si>
  <si>
    <t>wlc</t>
  </si>
  <si>
    <t>frequency</t>
  </si>
  <si>
    <t>(Hz)</t>
  </si>
  <si>
    <t>(rad/sec)</t>
  </si>
  <si>
    <t>Gain</t>
  </si>
  <si>
    <t>Mogulator</t>
  </si>
  <si>
    <t>Phase</t>
  </si>
  <si>
    <t>Feedback</t>
  </si>
  <si>
    <t>Openloop</t>
  </si>
  <si>
    <t>IC TEMPERATURE</t>
  </si>
  <si>
    <t>TYPICAL APPLICATION CIRCUIT</t>
  </si>
  <si>
    <t>FREQUENCY RESPONSE</t>
  </si>
  <si>
    <t>Mogulator2</t>
  </si>
  <si>
    <t>Openloop2</t>
  </si>
  <si>
    <t>wp_lf2</t>
  </si>
  <si>
    <t>wz_esr2</t>
  </si>
  <si>
    <t>wp_esr2</t>
  </si>
  <si>
    <t>RESR2</t>
  </si>
  <si>
    <t>25V</t>
  </si>
  <si>
    <t>1A</t>
  </si>
  <si>
    <t>Peak inductor current with output hard short [A]</t>
  </si>
  <si>
    <t>Revision: 09/20/2013 ver 1.5 by Eric Lee</t>
  </si>
  <si>
    <r>
      <t>Max C</t>
    </r>
    <r>
      <rPr>
        <vertAlign val="subscript"/>
        <sz val="10"/>
        <color rgb="FF000000"/>
        <rFont val="Arial"/>
        <family val="2"/>
      </rPr>
      <t>HF</t>
    </r>
    <r>
      <rPr>
        <sz val="10"/>
        <color rgb="FF000000"/>
        <rFont val="Arial"/>
        <family val="2"/>
      </rPr>
      <t xml:space="preserve"> [pF]</t>
    </r>
  </si>
  <si>
    <r>
      <t>Min C</t>
    </r>
    <r>
      <rPr>
        <vertAlign val="subscript"/>
        <sz val="10"/>
        <color rgb="FF000000"/>
        <rFont val="Arial"/>
        <family val="2"/>
      </rPr>
      <t>HF</t>
    </r>
    <r>
      <rPr>
        <sz val="10"/>
        <color rgb="FF000000"/>
        <rFont val="Arial"/>
        <family val="2"/>
      </rPr>
      <t xml:space="preserve"> [pF]</t>
    </r>
  </si>
  <si>
    <r>
      <t>User selection, C</t>
    </r>
    <r>
      <rPr>
        <vertAlign val="subscript"/>
        <sz val="10"/>
        <color rgb="FF000000"/>
        <rFont val="Arial"/>
        <family val="2"/>
      </rPr>
      <t>HF</t>
    </r>
    <r>
      <rPr>
        <sz val="10"/>
        <color rgb="FF000000"/>
        <rFont val="Arial"/>
        <family val="2"/>
      </rPr>
      <t xml:space="preserve"> [pF]</t>
    </r>
  </si>
  <si>
    <r>
      <t>Max input voltage, V</t>
    </r>
    <r>
      <rPr>
        <vertAlign val="subscript"/>
        <sz val="10"/>
        <color theme="1"/>
        <rFont val="Arial"/>
        <family val="2"/>
      </rPr>
      <t>IN(MAX)</t>
    </r>
    <r>
      <rPr>
        <sz val="10"/>
        <color theme="1"/>
        <rFont val="Arial"/>
        <family val="2"/>
      </rPr>
      <t xml:space="preserve"> [V]</t>
    </r>
  </si>
  <si>
    <r>
      <t>Min input voltage, V</t>
    </r>
    <r>
      <rPr>
        <vertAlign val="subscript"/>
        <sz val="10"/>
        <color theme="1"/>
        <rFont val="Arial"/>
        <family val="2"/>
      </rPr>
      <t>IN(MIN)</t>
    </r>
    <r>
      <rPr>
        <sz val="10"/>
        <color theme="1"/>
        <rFont val="Arial"/>
        <family val="2"/>
      </rPr>
      <t xml:space="preserve"> [V]</t>
    </r>
  </si>
  <si>
    <r>
      <t>Target output voltage, V</t>
    </r>
    <r>
      <rPr>
        <vertAlign val="subscript"/>
        <sz val="10"/>
        <color theme="1"/>
        <rFont val="Arial"/>
        <family val="2"/>
      </rPr>
      <t>OUT</t>
    </r>
    <r>
      <rPr>
        <sz val="10"/>
        <color theme="1"/>
        <rFont val="Arial"/>
        <family val="2"/>
      </rPr>
      <t xml:space="preserve"> [V]</t>
    </r>
  </si>
  <si>
    <r>
      <t>Full load current , I</t>
    </r>
    <r>
      <rPr>
        <vertAlign val="subscript"/>
        <sz val="10"/>
        <color theme="1"/>
        <rFont val="Arial"/>
        <family val="2"/>
      </rPr>
      <t>OUT</t>
    </r>
    <r>
      <rPr>
        <sz val="10"/>
        <color theme="1"/>
        <rFont val="Arial"/>
        <family val="2"/>
      </rPr>
      <t xml:space="preserve"> [A]</t>
    </r>
  </si>
  <si>
    <r>
      <t>Switching frequency, F</t>
    </r>
    <r>
      <rPr>
        <vertAlign val="subscript"/>
        <sz val="10"/>
        <color theme="1"/>
        <rFont val="Arial"/>
        <family val="2"/>
      </rPr>
      <t>SW</t>
    </r>
    <r>
      <rPr>
        <sz val="10"/>
        <color theme="1"/>
        <rFont val="Arial"/>
        <family val="2"/>
      </rPr>
      <t xml:space="preserve"> [kHz]</t>
    </r>
  </si>
  <si>
    <r>
      <t>Max duty cycle, D</t>
    </r>
    <r>
      <rPr>
        <vertAlign val="subscript"/>
        <sz val="10"/>
        <color theme="1"/>
        <rFont val="Arial"/>
        <family val="2"/>
      </rPr>
      <t>MAX</t>
    </r>
  </si>
  <si>
    <r>
      <t>Min duty cycle, D</t>
    </r>
    <r>
      <rPr>
        <vertAlign val="subscript"/>
        <sz val="10"/>
        <color theme="1"/>
        <rFont val="Arial"/>
        <family val="2"/>
      </rPr>
      <t>MIN</t>
    </r>
  </si>
  <si>
    <r>
      <t>RT resistor, R</t>
    </r>
    <r>
      <rPr>
        <vertAlign val="subscript"/>
        <sz val="10"/>
        <color theme="1"/>
        <rFont val="Arial"/>
        <family val="2"/>
      </rPr>
      <t>T</t>
    </r>
    <r>
      <rPr>
        <sz val="10"/>
        <color theme="1"/>
        <rFont val="Arial"/>
        <family val="2"/>
      </rPr>
      <t xml:space="preserve"> [kΩ]</t>
    </r>
  </si>
  <si>
    <r>
      <t>C</t>
    </r>
    <r>
      <rPr>
        <b/>
        <vertAlign val="subscript"/>
        <sz val="10"/>
        <color theme="1"/>
        <rFont val="Arial"/>
        <family val="2"/>
      </rPr>
      <t>IN</t>
    </r>
  </si>
  <si>
    <r>
      <t>Recommended output inductor, L</t>
    </r>
    <r>
      <rPr>
        <vertAlign val="subscript"/>
        <sz val="10"/>
        <color theme="1"/>
        <rFont val="Arial"/>
        <family val="2"/>
      </rPr>
      <t>O</t>
    </r>
    <r>
      <rPr>
        <sz val="10"/>
        <color theme="1"/>
        <rFont val="Arial"/>
        <family val="2"/>
      </rPr>
      <t xml:space="preserve"> [uH]</t>
    </r>
  </si>
  <si>
    <r>
      <t>C</t>
    </r>
    <r>
      <rPr>
        <b/>
        <vertAlign val="subscript"/>
        <sz val="10"/>
        <color theme="1"/>
        <rFont val="Arial"/>
        <family val="2"/>
      </rPr>
      <t>OUT1</t>
    </r>
  </si>
  <si>
    <r>
      <t>User selection, L</t>
    </r>
    <r>
      <rPr>
        <vertAlign val="subscript"/>
        <sz val="10"/>
        <color theme="1"/>
        <rFont val="Arial"/>
        <family val="2"/>
      </rPr>
      <t>O</t>
    </r>
    <r>
      <rPr>
        <sz val="10"/>
        <color theme="1"/>
        <rFont val="Arial"/>
        <family val="2"/>
      </rPr>
      <t xml:space="preserve"> [uH]</t>
    </r>
  </si>
  <si>
    <r>
      <t>C</t>
    </r>
    <r>
      <rPr>
        <b/>
        <vertAlign val="subscript"/>
        <sz val="10"/>
        <color theme="1"/>
        <rFont val="Arial"/>
        <family val="2"/>
      </rPr>
      <t>OUT2</t>
    </r>
  </si>
  <si>
    <r>
      <t>Min load current in CCM @V</t>
    </r>
    <r>
      <rPr>
        <vertAlign val="subscript"/>
        <sz val="10"/>
        <color theme="1"/>
        <rFont val="Arial"/>
        <family val="2"/>
      </rPr>
      <t>IN(MAX)</t>
    </r>
    <r>
      <rPr>
        <sz val="10"/>
        <color theme="1"/>
        <rFont val="Arial"/>
        <family val="2"/>
      </rPr>
      <t xml:space="preserve"> [A]</t>
    </r>
  </si>
  <si>
    <r>
      <t>C</t>
    </r>
    <r>
      <rPr>
        <b/>
        <vertAlign val="subscript"/>
        <sz val="10"/>
        <color theme="1"/>
        <rFont val="Arial"/>
        <family val="2"/>
      </rPr>
      <t>VCC</t>
    </r>
  </si>
  <si>
    <r>
      <t>Min load current in CCM @V</t>
    </r>
    <r>
      <rPr>
        <vertAlign val="subscript"/>
        <sz val="10"/>
        <color theme="1"/>
        <rFont val="Arial"/>
        <family val="2"/>
      </rPr>
      <t>IN(MIN)</t>
    </r>
    <r>
      <rPr>
        <sz val="10"/>
        <color theme="1"/>
        <rFont val="Arial"/>
        <family val="2"/>
      </rPr>
      <t xml:space="preserve"> [A]</t>
    </r>
  </si>
  <si>
    <r>
      <t>C</t>
    </r>
    <r>
      <rPr>
        <b/>
        <vertAlign val="subscript"/>
        <sz val="10"/>
        <color theme="1"/>
        <rFont val="Arial"/>
        <family val="2"/>
      </rPr>
      <t>HB</t>
    </r>
  </si>
  <si>
    <r>
      <t>C</t>
    </r>
    <r>
      <rPr>
        <b/>
        <vertAlign val="subscript"/>
        <sz val="10"/>
        <color theme="1"/>
        <rFont val="Arial"/>
        <family val="2"/>
      </rPr>
      <t>SS</t>
    </r>
  </si>
  <si>
    <r>
      <t>C</t>
    </r>
    <r>
      <rPr>
        <b/>
        <vertAlign val="subscript"/>
        <sz val="10"/>
        <color theme="1"/>
        <rFont val="Arial"/>
        <family val="2"/>
      </rPr>
      <t>RES</t>
    </r>
  </si>
  <si>
    <r>
      <t>C</t>
    </r>
    <r>
      <rPr>
        <b/>
        <vertAlign val="subscript"/>
        <sz val="10"/>
        <color theme="1"/>
        <rFont val="Arial"/>
        <family val="2"/>
      </rPr>
      <t>RAMP</t>
    </r>
  </si>
  <si>
    <r>
      <t xml:space="preserve"> Target (% beyond full load  @V</t>
    </r>
    <r>
      <rPr>
        <vertAlign val="subscript"/>
        <sz val="10"/>
        <color theme="1"/>
        <rFont val="Arial"/>
        <family val="2"/>
      </rPr>
      <t>IN(MIN)</t>
    </r>
    <r>
      <rPr>
        <sz val="10"/>
        <color theme="1"/>
        <rFont val="Arial"/>
        <family val="2"/>
      </rPr>
      <t xml:space="preserve"> )</t>
    </r>
  </si>
  <si>
    <r>
      <t>C</t>
    </r>
    <r>
      <rPr>
        <b/>
        <vertAlign val="subscript"/>
        <sz val="10"/>
        <color theme="1"/>
        <rFont val="Arial"/>
        <family val="2"/>
      </rPr>
      <t>COMP</t>
    </r>
  </si>
  <si>
    <r>
      <t>C</t>
    </r>
    <r>
      <rPr>
        <b/>
        <vertAlign val="subscript"/>
        <sz val="10"/>
        <color theme="1"/>
        <rFont val="Arial"/>
        <family val="2"/>
      </rPr>
      <t>HF</t>
    </r>
  </si>
  <si>
    <r>
      <t>Recommended current sense resistor , R</t>
    </r>
    <r>
      <rPr>
        <vertAlign val="subscript"/>
        <sz val="10"/>
        <color theme="1"/>
        <rFont val="Arial"/>
        <family val="2"/>
      </rPr>
      <t>S</t>
    </r>
    <r>
      <rPr>
        <sz val="10"/>
        <color theme="1"/>
        <rFont val="Arial"/>
        <family val="2"/>
      </rPr>
      <t xml:space="preserve"> [Ω]</t>
    </r>
  </si>
  <si>
    <r>
      <t>C</t>
    </r>
    <r>
      <rPr>
        <b/>
        <vertAlign val="subscript"/>
        <sz val="10"/>
        <color theme="1"/>
        <rFont val="Arial"/>
        <family val="2"/>
      </rPr>
      <t>FT</t>
    </r>
  </si>
  <si>
    <r>
      <t>User selection , R</t>
    </r>
    <r>
      <rPr>
        <vertAlign val="subscript"/>
        <sz val="10"/>
        <color theme="1"/>
        <rFont val="Arial"/>
        <family val="2"/>
      </rPr>
      <t>S</t>
    </r>
    <r>
      <rPr>
        <sz val="10"/>
        <color theme="1"/>
        <rFont val="Arial"/>
        <family val="2"/>
      </rPr>
      <t xml:space="preserve"> [Ω]</t>
    </r>
  </si>
  <si>
    <r>
      <t>R</t>
    </r>
    <r>
      <rPr>
        <b/>
        <vertAlign val="subscript"/>
        <sz val="10"/>
        <color theme="1"/>
        <rFont val="Arial"/>
        <family val="2"/>
      </rPr>
      <t>UV1</t>
    </r>
  </si>
  <si>
    <r>
      <t>Max output current @V</t>
    </r>
    <r>
      <rPr>
        <vertAlign val="subscript"/>
        <sz val="10"/>
        <color theme="1"/>
        <rFont val="Arial"/>
        <family val="2"/>
      </rPr>
      <t>IN(MIN)</t>
    </r>
    <r>
      <rPr>
        <sz val="10"/>
        <color theme="1"/>
        <rFont val="Arial"/>
        <family val="2"/>
      </rPr>
      <t xml:space="preserve"> [A]</t>
    </r>
  </si>
  <si>
    <r>
      <t>R</t>
    </r>
    <r>
      <rPr>
        <b/>
        <vertAlign val="subscript"/>
        <sz val="10"/>
        <color theme="1"/>
        <rFont val="Arial"/>
        <family val="2"/>
      </rPr>
      <t>UV2</t>
    </r>
  </si>
  <si>
    <r>
      <t>Max output current @V</t>
    </r>
    <r>
      <rPr>
        <vertAlign val="subscript"/>
        <sz val="10"/>
        <color theme="1"/>
        <rFont val="Arial"/>
        <family val="2"/>
      </rPr>
      <t>IN(MAX)</t>
    </r>
    <r>
      <rPr>
        <sz val="10"/>
        <color theme="1"/>
        <rFont val="Arial"/>
        <family val="2"/>
      </rPr>
      <t xml:space="preserve"> [A]</t>
    </r>
  </si>
  <si>
    <r>
      <t>R</t>
    </r>
    <r>
      <rPr>
        <b/>
        <vertAlign val="subscript"/>
        <sz val="10"/>
        <color theme="1"/>
        <rFont val="Arial"/>
        <family val="2"/>
      </rPr>
      <t>FB1</t>
    </r>
  </si>
  <si>
    <r>
      <t>R</t>
    </r>
    <r>
      <rPr>
        <b/>
        <vertAlign val="subscript"/>
        <sz val="10"/>
        <color theme="1"/>
        <rFont val="Arial"/>
        <family val="2"/>
      </rPr>
      <t>FB2</t>
    </r>
  </si>
  <si>
    <r>
      <t>Full load power dissipation of R</t>
    </r>
    <r>
      <rPr>
        <vertAlign val="subscript"/>
        <sz val="10"/>
        <color theme="1"/>
        <rFont val="Arial"/>
        <family val="2"/>
      </rPr>
      <t xml:space="preserve">S </t>
    </r>
    <r>
      <rPr>
        <sz val="10"/>
        <color theme="1"/>
        <rFont val="Arial"/>
        <family val="2"/>
      </rPr>
      <t>@V</t>
    </r>
    <r>
      <rPr>
        <vertAlign val="subscript"/>
        <sz val="10"/>
        <color theme="1"/>
        <rFont val="Arial"/>
        <family val="2"/>
      </rPr>
      <t>IN(MAX)</t>
    </r>
    <r>
      <rPr>
        <sz val="10"/>
        <color theme="1"/>
        <rFont val="Arial"/>
        <family val="2"/>
      </rPr>
      <t>, P</t>
    </r>
    <r>
      <rPr>
        <vertAlign val="subscript"/>
        <sz val="10"/>
        <color theme="1"/>
        <rFont val="Arial"/>
        <family val="2"/>
      </rPr>
      <t>RS</t>
    </r>
    <r>
      <rPr>
        <sz val="10"/>
        <color theme="1"/>
        <rFont val="Arial"/>
        <family val="2"/>
      </rPr>
      <t xml:space="preserve"> [W]</t>
    </r>
  </si>
  <si>
    <r>
      <t>R</t>
    </r>
    <r>
      <rPr>
        <b/>
        <vertAlign val="subscript"/>
        <sz val="10"/>
        <color theme="1"/>
        <rFont val="Arial"/>
        <family val="2"/>
      </rPr>
      <t>S</t>
    </r>
  </si>
  <si>
    <r>
      <t>R</t>
    </r>
    <r>
      <rPr>
        <b/>
        <vertAlign val="subscript"/>
        <sz val="10"/>
        <color theme="1"/>
        <rFont val="Arial"/>
        <family val="2"/>
      </rPr>
      <t>T</t>
    </r>
  </si>
  <si>
    <r>
      <t>R</t>
    </r>
    <r>
      <rPr>
        <b/>
        <vertAlign val="subscript"/>
        <sz val="10"/>
        <color theme="1"/>
        <rFont val="Arial"/>
        <family val="2"/>
      </rPr>
      <t>RAMP</t>
    </r>
  </si>
  <si>
    <r>
      <t>R</t>
    </r>
    <r>
      <rPr>
        <b/>
        <vertAlign val="subscript"/>
        <sz val="10"/>
        <color theme="1"/>
        <rFont val="Arial"/>
        <family val="2"/>
      </rPr>
      <t>COMP</t>
    </r>
  </si>
  <si>
    <r>
      <t>Ramp capacitor, C</t>
    </r>
    <r>
      <rPr>
        <vertAlign val="subscript"/>
        <sz val="10"/>
        <color theme="1"/>
        <rFont val="Arial"/>
        <family val="2"/>
      </rPr>
      <t>RAMP</t>
    </r>
    <r>
      <rPr>
        <sz val="10"/>
        <color theme="1"/>
        <rFont val="Arial"/>
        <family val="2"/>
      </rPr>
      <t xml:space="preserve"> [pF]</t>
    </r>
  </si>
  <si>
    <r>
      <t>L</t>
    </r>
    <r>
      <rPr>
        <b/>
        <vertAlign val="subscript"/>
        <sz val="10"/>
        <color theme="1"/>
        <rFont val="Arial"/>
        <family val="2"/>
      </rPr>
      <t>O</t>
    </r>
  </si>
  <si>
    <r>
      <t>Ramp resistor, R</t>
    </r>
    <r>
      <rPr>
        <vertAlign val="subscript"/>
        <sz val="10"/>
        <color theme="1"/>
        <rFont val="Arial"/>
        <family val="2"/>
      </rPr>
      <t>RAMP</t>
    </r>
    <r>
      <rPr>
        <sz val="10"/>
        <color theme="1"/>
        <rFont val="Arial"/>
        <family val="2"/>
      </rPr>
      <t xml:space="preserve"> [kΩ]</t>
    </r>
  </si>
  <si>
    <r>
      <t>D</t>
    </r>
    <r>
      <rPr>
        <b/>
        <vertAlign val="subscript"/>
        <sz val="10"/>
        <color theme="1"/>
        <rFont val="Arial"/>
        <family val="2"/>
      </rPr>
      <t>HB</t>
    </r>
  </si>
  <si>
    <r>
      <t>Q</t>
    </r>
    <r>
      <rPr>
        <b/>
        <vertAlign val="subscript"/>
        <sz val="10"/>
        <color theme="1"/>
        <rFont val="Arial"/>
        <family val="2"/>
      </rPr>
      <t>H</t>
    </r>
    <r>
      <rPr>
        <b/>
        <sz val="10"/>
        <color theme="1"/>
        <rFont val="Arial"/>
        <family val="2"/>
      </rPr>
      <t xml:space="preserve"> and Q</t>
    </r>
    <r>
      <rPr>
        <b/>
        <vertAlign val="subscript"/>
        <sz val="10"/>
        <color theme="1"/>
        <rFont val="Arial"/>
        <family val="2"/>
      </rPr>
      <t>L</t>
    </r>
  </si>
  <si>
    <r>
      <t>Desired minimum start-up voltage, V</t>
    </r>
    <r>
      <rPr>
        <vertAlign val="subscript"/>
        <sz val="10"/>
        <color theme="1"/>
        <rFont val="Arial"/>
        <family val="2"/>
      </rPr>
      <t>IN(STARTUP)</t>
    </r>
    <r>
      <rPr>
        <sz val="10"/>
        <color theme="1"/>
        <rFont val="Arial"/>
        <family val="2"/>
      </rPr>
      <t xml:space="preserve"> [V]</t>
    </r>
  </si>
  <si>
    <r>
      <t>Desired UV hysteresis, V</t>
    </r>
    <r>
      <rPr>
        <vertAlign val="subscript"/>
        <sz val="10"/>
        <color theme="1"/>
        <rFont val="Arial"/>
        <family val="2"/>
      </rPr>
      <t>HYS</t>
    </r>
    <r>
      <rPr>
        <sz val="10"/>
        <color theme="1"/>
        <rFont val="Arial"/>
        <family val="2"/>
      </rPr>
      <t xml:space="preserve"> [V]</t>
    </r>
  </si>
  <si>
    <r>
      <t>R</t>
    </r>
    <r>
      <rPr>
        <vertAlign val="subscript"/>
        <sz val="10"/>
        <color theme="1"/>
        <rFont val="Arial"/>
        <family val="2"/>
      </rPr>
      <t>UV2</t>
    </r>
    <r>
      <rPr>
        <sz val="10"/>
        <color theme="1"/>
        <rFont val="Arial"/>
        <family val="2"/>
      </rPr>
      <t xml:space="preserve"> [kΩ]</t>
    </r>
  </si>
  <si>
    <r>
      <t>R</t>
    </r>
    <r>
      <rPr>
        <vertAlign val="subscript"/>
        <sz val="10"/>
        <color theme="1"/>
        <rFont val="Arial"/>
        <family val="2"/>
      </rPr>
      <t>UV1</t>
    </r>
    <r>
      <rPr>
        <sz val="10"/>
        <color theme="1"/>
        <rFont val="Arial"/>
        <family val="2"/>
      </rPr>
      <t xml:space="preserve"> [kΩ]</t>
    </r>
  </si>
  <si>
    <r>
      <t>Max C</t>
    </r>
    <r>
      <rPr>
        <vertAlign val="subscript"/>
        <sz val="10"/>
        <color theme="1"/>
        <rFont val="Arial"/>
        <family val="2"/>
      </rPr>
      <t>FT</t>
    </r>
    <r>
      <rPr>
        <sz val="10"/>
        <color theme="1"/>
        <rFont val="Arial"/>
        <family val="2"/>
      </rPr>
      <t xml:space="preserve"> (optional) [pF]</t>
    </r>
  </si>
  <si>
    <r>
      <t>High-side MOSFET Qg @V</t>
    </r>
    <r>
      <rPr>
        <vertAlign val="subscript"/>
        <sz val="10"/>
        <color theme="1"/>
        <rFont val="Arial"/>
        <family val="2"/>
      </rPr>
      <t>VCC</t>
    </r>
    <r>
      <rPr>
        <sz val="10"/>
        <color theme="1"/>
        <rFont val="Arial"/>
        <family val="2"/>
      </rPr>
      <t xml:space="preserve"> (nC)</t>
    </r>
  </si>
  <si>
    <r>
      <t>Low-side MOSFET Qg @V</t>
    </r>
    <r>
      <rPr>
        <vertAlign val="subscript"/>
        <sz val="10"/>
        <color theme="1"/>
        <rFont val="Arial"/>
        <family val="2"/>
      </rPr>
      <t>VCC</t>
    </r>
    <r>
      <rPr>
        <sz val="10"/>
        <color theme="1"/>
        <rFont val="Arial"/>
        <family val="2"/>
      </rPr>
      <t xml:space="preserve"> (nC)</t>
    </r>
  </si>
  <si>
    <r>
      <t>Min C</t>
    </r>
    <r>
      <rPr>
        <vertAlign val="subscript"/>
        <sz val="10"/>
        <color theme="1"/>
        <rFont val="Arial"/>
        <family val="2"/>
      </rPr>
      <t>HB</t>
    </r>
    <r>
      <rPr>
        <sz val="10"/>
        <color theme="1"/>
        <rFont val="Arial"/>
        <family val="2"/>
      </rPr>
      <t xml:space="preserve"> [µF]</t>
    </r>
  </si>
  <si>
    <r>
      <t>Min C</t>
    </r>
    <r>
      <rPr>
        <vertAlign val="subscript"/>
        <sz val="10"/>
        <color theme="1"/>
        <rFont val="Arial"/>
        <family val="2"/>
      </rPr>
      <t>VCC</t>
    </r>
    <r>
      <rPr>
        <sz val="10"/>
        <color theme="1"/>
        <rFont val="Arial"/>
        <family val="2"/>
      </rPr>
      <t xml:space="preserve"> [µF]</t>
    </r>
  </si>
  <si>
    <r>
      <t>Output capacitor with ESR, C</t>
    </r>
    <r>
      <rPr>
        <vertAlign val="subscript"/>
        <sz val="10"/>
        <color theme="1"/>
        <rFont val="Arial"/>
        <family val="2"/>
      </rPr>
      <t>OUT1</t>
    </r>
    <r>
      <rPr>
        <sz val="10"/>
        <color theme="1"/>
        <rFont val="Arial"/>
        <family val="2"/>
      </rPr>
      <t xml:space="preserve"> [µF]</t>
    </r>
  </si>
  <si>
    <r>
      <t>Ceramic output capacitor, C</t>
    </r>
    <r>
      <rPr>
        <vertAlign val="subscript"/>
        <sz val="10"/>
        <color theme="1"/>
        <rFont val="Arial"/>
        <family val="2"/>
      </rPr>
      <t>OUT2</t>
    </r>
    <r>
      <rPr>
        <sz val="10"/>
        <color theme="1"/>
        <rFont val="Arial"/>
        <family val="2"/>
      </rPr>
      <t xml:space="preserve"> [µF]</t>
    </r>
  </si>
  <si>
    <r>
      <t>Max ESR of  C</t>
    </r>
    <r>
      <rPr>
        <vertAlign val="subscript"/>
        <sz val="10"/>
        <color theme="1"/>
        <rFont val="Arial"/>
        <family val="2"/>
      </rPr>
      <t>OUT1</t>
    </r>
    <r>
      <rPr>
        <sz val="10"/>
        <color theme="1"/>
        <rFont val="Arial"/>
        <family val="2"/>
      </rPr>
      <t>, R</t>
    </r>
    <r>
      <rPr>
        <vertAlign val="subscript"/>
        <sz val="10"/>
        <color theme="1"/>
        <rFont val="Arial"/>
        <family val="2"/>
      </rPr>
      <t>ESR</t>
    </r>
    <r>
      <rPr>
        <sz val="10"/>
        <color theme="1"/>
        <rFont val="Arial"/>
        <family val="2"/>
      </rPr>
      <t xml:space="preserve"> [Ω]</t>
    </r>
  </si>
  <si>
    <r>
      <t>Effective total C</t>
    </r>
    <r>
      <rPr>
        <vertAlign val="subscript"/>
        <sz val="10"/>
        <color theme="1"/>
        <rFont val="Arial"/>
        <family val="2"/>
      </rPr>
      <t xml:space="preserve">OUT </t>
    </r>
    <r>
      <rPr>
        <sz val="10"/>
        <color theme="1"/>
        <rFont val="Arial"/>
        <family val="2"/>
      </rPr>
      <t>[µF]</t>
    </r>
  </si>
  <si>
    <r>
      <t>Input capacitor(ceramic), C</t>
    </r>
    <r>
      <rPr>
        <vertAlign val="subscript"/>
        <sz val="10"/>
        <color theme="1"/>
        <rFont val="Arial"/>
        <family val="2"/>
      </rPr>
      <t>IN</t>
    </r>
    <r>
      <rPr>
        <sz val="10"/>
        <color theme="1"/>
        <rFont val="Arial"/>
        <family val="2"/>
      </rPr>
      <t xml:space="preserve"> [µF]</t>
    </r>
  </si>
  <si>
    <r>
      <t>Desired soft-start time, T</t>
    </r>
    <r>
      <rPr>
        <vertAlign val="subscript"/>
        <sz val="10"/>
        <color theme="1"/>
        <rFont val="Arial"/>
        <family val="2"/>
      </rPr>
      <t>SS</t>
    </r>
    <r>
      <rPr>
        <sz val="10"/>
        <color theme="1"/>
        <rFont val="Arial"/>
        <family val="2"/>
      </rPr>
      <t xml:space="preserve"> [ms]</t>
    </r>
  </si>
  <si>
    <r>
      <t>Soft-start capacitor, C</t>
    </r>
    <r>
      <rPr>
        <vertAlign val="subscript"/>
        <sz val="10"/>
        <color theme="1"/>
        <rFont val="Arial"/>
        <family val="2"/>
      </rPr>
      <t>SS</t>
    </r>
    <r>
      <rPr>
        <sz val="10"/>
        <color theme="1"/>
        <rFont val="Arial"/>
        <family val="2"/>
      </rPr>
      <t xml:space="preserve"> [µF]</t>
    </r>
  </si>
  <si>
    <r>
      <t>Desired restart time, T</t>
    </r>
    <r>
      <rPr>
        <vertAlign val="subscript"/>
        <sz val="10"/>
        <color theme="1"/>
        <rFont val="Arial"/>
        <family val="2"/>
      </rPr>
      <t>RES</t>
    </r>
    <r>
      <rPr>
        <sz val="10"/>
        <color theme="1"/>
        <rFont val="Arial"/>
        <family val="2"/>
      </rPr>
      <t xml:space="preserve"> [ms]</t>
    </r>
  </si>
  <si>
    <r>
      <t>Restart capacitor, C</t>
    </r>
    <r>
      <rPr>
        <vertAlign val="subscript"/>
        <sz val="10"/>
        <color theme="1"/>
        <rFont val="Arial"/>
        <family val="2"/>
      </rPr>
      <t>RES</t>
    </r>
    <r>
      <rPr>
        <sz val="10"/>
        <color theme="1"/>
        <rFont val="Arial"/>
        <family val="2"/>
      </rPr>
      <t xml:space="preserve"> [µF]</t>
    </r>
  </si>
  <si>
    <r>
      <t>R</t>
    </r>
    <r>
      <rPr>
        <vertAlign val="subscript"/>
        <sz val="10"/>
        <color theme="1"/>
        <rFont val="Arial"/>
        <family val="2"/>
      </rPr>
      <t>FB2</t>
    </r>
    <r>
      <rPr>
        <sz val="10"/>
        <color theme="1"/>
        <rFont val="Arial"/>
        <family val="2"/>
      </rPr>
      <t xml:space="preserve"> [Ω]</t>
    </r>
  </si>
  <si>
    <r>
      <t>R</t>
    </r>
    <r>
      <rPr>
        <vertAlign val="subscript"/>
        <sz val="10"/>
        <color theme="1"/>
        <rFont val="Arial"/>
        <family val="2"/>
      </rPr>
      <t>FB1</t>
    </r>
    <r>
      <rPr>
        <sz val="10"/>
        <color theme="1"/>
        <rFont val="Arial"/>
        <family val="2"/>
      </rPr>
      <t xml:space="preserve"> [Ω]</t>
    </r>
  </si>
  <si>
    <r>
      <t>Openloop crossover frequency, F</t>
    </r>
    <r>
      <rPr>
        <vertAlign val="subscript"/>
        <sz val="10"/>
        <color theme="1"/>
        <rFont val="Arial"/>
        <family val="2"/>
      </rPr>
      <t>CROSS</t>
    </r>
    <r>
      <rPr>
        <sz val="10"/>
        <color theme="1"/>
        <rFont val="Arial"/>
        <family val="2"/>
      </rPr>
      <t xml:space="preserve"> [kHz]</t>
    </r>
  </si>
  <si>
    <r>
      <t>R</t>
    </r>
    <r>
      <rPr>
        <vertAlign val="subscript"/>
        <sz val="10"/>
        <color theme="1"/>
        <rFont val="Arial"/>
        <family val="2"/>
      </rPr>
      <t xml:space="preserve">COMP </t>
    </r>
    <r>
      <rPr>
        <sz val="10"/>
        <color theme="1"/>
        <rFont val="Arial"/>
        <family val="2"/>
      </rPr>
      <t>[Ω]</t>
    </r>
  </si>
  <si>
    <r>
      <t>User selection, R</t>
    </r>
    <r>
      <rPr>
        <vertAlign val="subscript"/>
        <sz val="10"/>
        <color theme="1"/>
        <rFont val="Arial"/>
        <family val="2"/>
      </rPr>
      <t xml:space="preserve">COMP </t>
    </r>
    <r>
      <rPr>
        <sz val="10"/>
        <color theme="1"/>
        <rFont val="Arial"/>
        <family val="2"/>
      </rPr>
      <t>[Ω]</t>
    </r>
  </si>
  <si>
    <r>
      <t xml:space="preserve"> C</t>
    </r>
    <r>
      <rPr>
        <vertAlign val="subscript"/>
        <sz val="10"/>
        <color theme="1"/>
        <rFont val="Arial"/>
        <family val="2"/>
      </rPr>
      <t xml:space="preserve">COMP </t>
    </r>
    <r>
      <rPr>
        <sz val="10"/>
        <color theme="1"/>
        <rFont val="Arial"/>
        <family val="2"/>
      </rPr>
      <t>[pF]</t>
    </r>
  </si>
  <si>
    <r>
      <t xml:space="preserve"> User selection, C</t>
    </r>
    <r>
      <rPr>
        <vertAlign val="subscript"/>
        <sz val="10"/>
        <color theme="1"/>
        <rFont val="Arial"/>
        <family val="2"/>
      </rPr>
      <t xml:space="preserve">COMP </t>
    </r>
    <r>
      <rPr>
        <sz val="10"/>
        <color theme="1"/>
        <rFont val="Arial"/>
        <family val="2"/>
      </rPr>
      <t>[pF]</t>
    </r>
  </si>
  <si>
    <r>
      <t xml:space="preserve"> External VCC Select "</t>
    </r>
    <r>
      <rPr>
        <b/>
        <sz val="10"/>
        <color theme="1"/>
        <rFont val="Arial"/>
        <family val="2"/>
      </rPr>
      <t>Yes</t>
    </r>
    <r>
      <rPr>
        <sz val="10"/>
        <color theme="1"/>
        <rFont val="Arial"/>
        <family val="2"/>
      </rPr>
      <t>" or "</t>
    </r>
    <r>
      <rPr>
        <b/>
        <sz val="10"/>
        <color theme="1"/>
        <rFont val="Arial"/>
        <family val="2"/>
      </rPr>
      <t>No</t>
    </r>
    <r>
      <rPr>
        <sz val="10"/>
        <color theme="1"/>
        <rFont val="Arial"/>
        <family val="2"/>
      </rPr>
      <t xml:space="preserve">" </t>
    </r>
  </si>
  <si>
    <r>
      <t>Total power loss @V</t>
    </r>
    <r>
      <rPr>
        <vertAlign val="subscript"/>
        <sz val="10"/>
        <color theme="1"/>
        <rFont val="Arial"/>
        <family val="2"/>
      </rPr>
      <t>IN(MAX)</t>
    </r>
    <r>
      <rPr>
        <sz val="10"/>
        <color theme="1"/>
        <rFont val="Arial"/>
        <family val="2"/>
      </rPr>
      <t xml:space="preserve"> [W]</t>
    </r>
  </si>
  <si>
    <r>
      <t>IC temperature @V</t>
    </r>
    <r>
      <rPr>
        <vertAlign val="subscript"/>
        <sz val="10"/>
        <color theme="1"/>
        <rFont val="Arial"/>
        <family val="2"/>
      </rPr>
      <t>IN(MAX)</t>
    </r>
    <r>
      <rPr>
        <sz val="10"/>
        <color theme="1"/>
        <rFont val="Arial"/>
        <family val="2"/>
      </rPr>
      <t xml:space="preserve"> [ºC]</t>
    </r>
  </si>
  <si>
    <r>
      <t>Simulate This Design Using WEBENCH®</t>
    </r>
    <r>
      <rPr>
        <b/>
        <sz val="8.5"/>
        <color theme="1"/>
        <rFont val="Arial"/>
        <family val="2"/>
      </rPr>
      <t xml:space="preserve"> </t>
    </r>
    <r>
      <rPr>
        <b/>
        <sz val="10"/>
        <color theme="1"/>
        <rFont val="Arial"/>
        <family val="2"/>
      </rPr>
      <t>Tools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</si>
</sst>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0.0000"/>
    <numFmt numFmtId="165" formatCode="0.000"/>
    <numFmt numFmtId="166" formatCode="0.0"/>
    <numFmt numFmtId="167" formatCode="#.0&quot;µH&quot;"/>
    <numFmt numFmtId="168" formatCode="#&quot;µF&quot;"/>
    <numFmt numFmtId="169" formatCode="0.00&quot;µF&quot;"/>
    <numFmt numFmtId="170" formatCode="#&quot;pF&quot;"/>
    <numFmt numFmtId="171" formatCode="0.00&quot;kΩ&quot;"/>
    <numFmt numFmtId="172" formatCode="0.0&quot;kΩ&quot;"/>
    <numFmt numFmtId="173" formatCode="#&quot;Ω&quot;"/>
    <numFmt numFmtId="174" formatCode="0.0000&quot;Ω&quot;"/>
    <numFmt numFmtId="175" formatCode="#&quot;kΩ&quot;"/>
    <numFmt numFmtId="176" formatCode="#&quot;V&quot;"/>
    <numFmt numFmtId="177" formatCode="0.00&quot;W&quot;"/>
    <numFmt numFmtId="178" formatCode="0.00&quot;nF&quot;"/>
    <numFmt numFmtId="179" formatCode="0.00&quot;µF Min&quot;"/>
    <numFmt numFmtId="180" formatCode="#&quot;pF Max&quot;"/>
  </numFmts>
  <fonts count="15" x14ac:knownFonts="1">
    <font>
      <sz val="10"/>
      <name val="Arial"/>
    </font>
    <font>
      <sz val="10"/>
      <name val="Arial"/>
      <family val="2"/>
    </font>
    <font>
      <sz val="8"/>
      <name val="Arial"/>
      <family val="2"/>
    </font>
    <font>
      <u/>
      <sz val="8.5"/>
      <color indexed="12"/>
      <name val="Arial"/>
      <family val="2"/>
    </font>
    <font>
      <sz val="8"/>
      <color indexed="81"/>
      <name val="Tahoma"/>
      <family val="2"/>
    </font>
    <font>
      <sz val="10"/>
      <color rgb="FF000000"/>
      <name val="Arial"/>
      <family val="2"/>
    </font>
    <font>
      <sz val="10"/>
      <color theme="1"/>
      <name val="Arial"/>
      <family val="2"/>
    </font>
    <font>
      <vertAlign val="subscript"/>
      <sz val="10"/>
      <color rgb="FF000000"/>
      <name val="Arial"/>
      <family val="2"/>
    </font>
    <font>
      <b/>
      <sz val="14"/>
      <color theme="1"/>
      <name val="Arial"/>
      <family val="2"/>
    </font>
    <font>
      <sz val="8"/>
      <color theme="1"/>
      <name val="Arial"/>
      <family val="2"/>
    </font>
    <font>
      <b/>
      <sz val="10"/>
      <color theme="1"/>
      <name val="Arial"/>
      <family val="2"/>
    </font>
    <font>
      <vertAlign val="subscript"/>
      <sz val="10"/>
      <color theme="1"/>
      <name val="Arial"/>
      <family val="2"/>
    </font>
    <font>
      <b/>
      <vertAlign val="subscript"/>
      <sz val="10"/>
      <color theme="1"/>
      <name val="Arial"/>
      <family val="2"/>
    </font>
    <font>
      <b/>
      <sz val="8.5"/>
      <color theme="1"/>
      <name val="Arial"/>
      <family val="2"/>
    </font>
    <font>
      <u/>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12"/>
        <bgColor indexed="64"/>
      </patternFill>
    </fill>
  </fills>
  <borders count="27">
    <border>
      <left/>
      <right/>
      <top/>
      <bottom/>
      <diagonal/>
    </border>
    <border>
      <left style="thin">
        <color indexed="9"/>
      </left>
      <right style="thin">
        <color indexed="9"/>
      </right>
      <top style="thin">
        <color indexed="9"/>
      </top>
      <bottom style="thin">
        <color indexed="9"/>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3" fillId="0" borderId="0" applyNumberFormat="0" applyFill="0" applyBorder="0" applyAlignment="0" applyProtection="0">
      <alignment vertical="top"/>
      <protection locked="0"/>
    </xf>
    <xf numFmtId="0" fontId="1" fillId="0" borderId="0"/>
  </cellStyleXfs>
  <cellXfs count="84">
    <xf numFmtId="0" fontId="0" fillId="0" borderId="0" xfId="0"/>
    <xf numFmtId="0" fontId="5" fillId="2" borderId="0" xfId="0" applyFont="1" applyFill="1" applyAlignment="1" applyProtection="1">
      <alignment horizontal="right"/>
    </xf>
    <xf numFmtId="0" fontId="8" fillId="2" borderId="1" xfId="0" applyFont="1" applyFill="1" applyBorder="1" applyAlignment="1" applyProtection="1"/>
    <xf numFmtId="0" fontId="6" fillId="2" borderId="0" xfId="0" applyFont="1" applyFill="1" applyProtection="1"/>
    <xf numFmtId="0" fontId="6" fillId="2" borderId="0" xfId="0" applyFont="1" applyFill="1" applyAlignment="1" applyProtection="1">
      <alignment horizontal="right"/>
    </xf>
    <xf numFmtId="0" fontId="9" fillId="2" borderId="1" xfId="0" applyFont="1" applyFill="1" applyBorder="1" applyAlignment="1" applyProtection="1"/>
    <xf numFmtId="0" fontId="10" fillId="2" borderId="0" xfId="0" applyFont="1" applyFill="1" applyProtection="1"/>
    <xf numFmtId="0" fontId="10" fillId="2" borderId="1" xfId="2" applyFont="1" applyFill="1" applyBorder="1" applyProtection="1"/>
    <xf numFmtId="0" fontId="6" fillId="3" borderId="3" xfId="0" applyFont="1" applyFill="1" applyBorder="1" applyAlignment="1" applyProtection="1">
      <alignment horizontal="right"/>
    </xf>
    <xf numFmtId="11" fontId="6" fillId="2" borderId="0" xfId="0" applyNumberFormat="1" applyFont="1" applyFill="1" applyProtection="1"/>
    <xf numFmtId="0" fontId="6" fillId="3" borderId="4" xfId="0" applyFont="1" applyFill="1" applyBorder="1" applyAlignment="1" applyProtection="1">
      <alignment horizontal="right"/>
    </xf>
    <xf numFmtId="0" fontId="6" fillId="2" borderId="5" xfId="0" applyFont="1" applyFill="1" applyBorder="1" applyAlignment="1" applyProtection="1">
      <alignment horizontal="right"/>
    </xf>
    <xf numFmtId="0" fontId="10" fillId="2" borderId="0" xfId="2" applyFont="1" applyFill="1" applyBorder="1" applyProtection="1"/>
    <xf numFmtId="2" fontId="6" fillId="2" borderId="3" xfId="0" applyNumberFormat="1" applyFont="1" applyFill="1" applyBorder="1" applyAlignment="1" applyProtection="1">
      <alignment horizontal="right"/>
    </xf>
    <xf numFmtId="2" fontId="6" fillId="2" borderId="4" xfId="0" applyNumberFormat="1" applyFont="1" applyFill="1" applyBorder="1" applyAlignment="1" applyProtection="1">
      <alignment horizontal="right"/>
    </xf>
    <xf numFmtId="166" fontId="6" fillId="2" borderId="5" xfId="0" applyNumberFormat="1" applyFont="1" applyFill="1" applyBorder="1" applyAlignment="1" applyProtection="1">
      <alignment horizontal="right"/>
    </xf>
    <xf numFmtId="0" fontId="10" fillId="0" borderId="9" xfId="0" applyFont="1" applyBorder="1" applyAlignment="1" applyProtection="1">
      <alignment horizontal="center"/>
    </xf>
    <xf numFmtId="0" fontId="10" fillId="0" borderId="10" xfId="0" applyFont="1" applyBorder="1" applyAlignment="1" applyProtection="1">
      <alignment horizontal="center"/>
    </xf>
    <xf numFmtId="0" fontId="10" fillId="0" borderId="11" xfId="0" applyFont="1" applyBorder="1" applyAlignment="1" applyProtection="1">
      <alignment horizontal="center"/>
    </xf>
    <xf numFmtId="0" fontId="10" fillId="2" borderId="12" xfId="0" applyFont="1" applyFill="1" applyBorder="1" applyAlignment="1" applyProtection="1">
      <alignment horizontal="center"/>
    </xf>
    <xf numFmtId="0" fontId="6" fillId="2" borderId="6" xfId="0" applyFont="1" applyFill="1" applyBorder="1" applyAlignment="1" applyProtection="1">
      <alignment horizontal="center"/>
    </xf>
    <xf numFmtId="0" fontId="6" fillId="2" borderId="13" xfId="0" applyFont="1" applyFill="1" applyBorder="1" applyAlignment="1" applyProtection="1">
      <alignment horizontal="center"/>
    </xf>
    <xf numFmtId="0" fontId="10" fillId="2" borderId="14" xfId="0" applyFont="1" applyFill="1" applyBorder="1" applyAlignment="1" applyProtection="1">
      <alignment horizontal="center"/>
    </xf>
    <xf numFmtId="0" fontId="6" fillId="2" borderId="3" xfId="0" applyFont="1" applyFill="1" applyBorder="1" applyAlignment="1" applyProtection="1">
      <alignment horizontal="center"/>
    </xf>
    <xf numFmtId="168" fontId="6" fillId="2" borderId="3" xfId="0" applyNumberFormat="1" applyFont="1" applyFill="1" applyBorder="1" applyAlignment="1" applyProtection="1">
      <alignment horizontal="center"/>
    </xf>
    <xf numFmtId="176" fontId="6" fillId="2" borderId="15" xfId="0" applyNumberFormat="1" applyFont="1" applyFill="1" applyBorder="1" applyAlignment="1" applyProtection="1">
      <alignment horizontal="center"/>
    </xf>
    <xf numFmtId="166" fontId="6" fillId="2" borderId="4" xfId="0" applyNumberFormat="1" applyFont="1" applyFill="1" applyBorder="1" applyAlignment="1" applyProtection="1">
      <alignment horizontal="right"/>
    </xf>
    <xf numFmtId="166" fontId="6" fillId="3" borderId="5" xfId="0" applyNumberFormat="1" applyFont="1" applyFill="1" applyBorder="1" applyAlignment="1" applyProtection="1">
      <alignment horizontal="right"/>
    </xf>
    <xf numFmtId="166" fontId="6" fillId="2" borderId="6" xfId="0" applyNumberFormat="1" applyFont="1" applyFill="1" applyBorder="1" applyAlignment="1" applyProtection="1">
      <alignment horizontal="right"/>
    </xf>
    <xf numFmtId="179" fontId="6" fillId="2" borderId="3" xfId="0" applyNumberFormat="1" applyFont="1" applyFill="1" applyBorder="1" applyAlignment="1" applyProtection="1">
      <alignment horizontal="center"/>
    </xf>
    <xf numFmtId="166" fontId="6" fillId="2" borderId="3" xfId="0" applyNumberFormat="1" applyFont="1" applyFill="1" applyBorder="1" applyAlignment="1" applyProtection="1">
      <alignment horizontal="right"/>
    </xf>
    <xf numFmtId="166" fontId="6" fillId="2" borderId="0" xfId="0" applyNumberFormat="1" applyFont="1" applyFill="1" applyBorder="1" applyAlignment="1" applyProtection="1">
      <alignment horizontal="right"/>
    </xf>
    <xf numFmtId="169" fontId="6" fillId="2" borderId="3" xfId="0" applyNumberFormat="1" applyFont="1" applyFill="1" applyBorder="1" applyAlignment="1" applyProtection="1">
      <alignment horizontal="center"/>
    </xf>
    <xf numFmtId="164" fontId="6" fillId="2" borderId="0" xfId="0" applyNumberFormat="1" applyFont="1" applyFill="1" applyBorder="1" applyAlignment="1" applyProtection="1">
      <alignment horizontal="right"/>
    </xf>
    <xf numFmtId="170" fontId="6" fillId="2" borderId="3" xfId="0" applyNumberFormat="1" applyFont="1" applyFill="1" applyBorder="1" applyAlignment="1" applyProtection="1">
      <alignment horizontal="center"/>
    </xf>
    <xf numFmtId="178" fontId="6" fillId="2" borderId="3" xfId="0" applyNumberFormat="1" applyFont="1" applyFill="1" applyBorder="1" applyAlignment="1" applyProtection="1">
      <alignment horizontal="center"/>
    </xf>
    <xf numFmtId="164" fontId="6" fillId="2" borderId="4" xfId="0" applyNumberFormat="1" applyFont="1" applyFill="1" applyBorder="1" applyAlignment="1" applyProtection="1">
      <alignment horizontal="right"/>
    </xf>
    <xf numFmtId="180" fontId="6" fillId="2" borderId="3" xfId="0" applyNumberFormat="1" applyFont="1" applyFill="1" applyBorder="1" applyAlignment="1" applyProtection="1">
      <alignment horizontal="center"/>
    </xf>
    <xf numFmtId="0" fontId="6" fillId="3" borderId="5" xfId="0" applyFont="1" applyFill="1" applyBorder="1" applyAlignment="1" applyProtection="1">
      <alignment horizontal="right"/>
    </xf>
    <xf numFmtId="171" fontId="6" fillId="2" borderId="3" xfId="0" applyNumberFormat="1" applyFont="1" applyFill="1" applyBorder="1" applyAlignment="1" applyProtection="1">
      <alignment horizontal="center"/>
    </xf>
    <xf numFmtId="0" fontId="6" fillId="2" borderId="15" xfId="0" applyFont="1" applyFill="1" applyBorder="1" applyAlignment="1" applyProtection="1">
      <alignment horizontal="center"/>
    </xf>
    <xf numFmtId="172" fontId="6" fillId="2" borderId="3" xfId="0" applyNumberFormat="1" applyFont="1" applyFill="1" applyBorder="1" applyAlignment="1" applyProtection="1">
      <alignment horizontal="center"/>
    </xf>
    <xf numFmtId="173" fontId="6" fillId="2" borderId="3" xfId="0" applyNumberFormat="1" applyFont="1" applyFill="1" applyBorder="1" applyAlignment="1" applyProtection="1">
      <alignment horizontal="center"/>
    </xf>
    <xf numFmtId="174" fontId="6" fillId="2" borderId="3" xfId="0" applyNumberFormat="1" applyFont="1" applyFill="1" applyBorder="1" applyAlignment="1" applyProtection="1">
      <alignment horizontal="center"/>
    </xf>
    <xf numFmtId="177" fontId="6" fillId="2" borderId="15" xfId="0" applyNumberFormat="1" applyFont="1" applyFill="1" applyBorder="1" applyAlignment="1" applyProtection="1">
      <alignment horizontal="center"/>
    </xf>
    <xf numFmtId="175" fontId="6" fillId="2" borderId="3" xfId="0" applyNumberFormat="1" applyFont="1" applyFill="1" applyBorder="1" applyAlignment="1" applyProtection="1">
      <alignment horizontal="center"/>
    </xf>
    <xf numFmtId="167" fontId="6" fillId="2" borderId="3" xfId="0" applyNumberFormat="1" applyFont="1" applyFill="1" applyBorder="1" applyAlignment="1" applyProtection="1">
      <alignment horizontal="center"/>
    </xf>
    <xf numFmtId="0" fontId="10" fillId="2" borderId="17" xfId="0" applyFont="1" applyFill="1" applyBorder="1" applyAlignment="1" applyProtection="1">
      <alignment horizontal="center"/>
    </xf>
    <xf numFmtId="0" fontId="6" fillId="2" borderId="18" xfId="0" applyFont="1" applyFill="1" applyBorder="1" applyAlignment="1" applyProtection="1">
      <alignment horizontal="center"/>
    </xf>
    <xf numFmtId="176" fontId="6" fillId="2" borderId="19" xfId="0" applyNumberFormat="1" applyFont="1" applyFill="1" applyBorder="1" applyAlignment="1" applyProtection="1">
      <alignment horizontal="center"/>
    </xf>
    <xf numFmtId="2" fontId="6" fillId="2" borderId="5" xfId="0" applyNumberFormat="1" applyFont="1" applyFill="1" applyBorder="1" applyAlignment="1" applyProtection="1">
      <alignment horizontal="right"/>
    </xf>
    <xf numFmtId="1" fontId="6" fillId="2" borderId="6" xfId="0" applyNumberFormat="1" applyFont="1" applyFill="1" applyBorder="1" applyAlignment="1" applyProtection="1">
      <alignment horizontal="right"/>
    </xf>
    <xf numFmtId="1" fontId="6" fillId="2" borderId="0" xfId="0" applyNumberFormat="1" applyFont="1" applyFill="1" applyProtection="1"/>
    <xf numFmtId="1" fontId="6" fillId="2" borderId="3" xfId="0" applyNumberFormat="1" applyFont="1" applyFill="1" applyBorder="1" applyAlignment="1" applyProtection="1">
      <alignment horizontal="right"/>
    </xf>
    <xf numFmtId="2" fontId="6" fillId="2" borderId="6" xfId="0" applyNumberFormat="1" applyFont="1" applyFill="1" applyBorder="1" applyAlignment="1" applyProtection="1">
      <alignment horizontal="right"/>
    </xf>
    <xf numFmtId="0" fontId="6" fillId="3" borderId="7" xfId="0" applyFont="1" applyFill="1" applyBorder="1" applyAlignment="1" applyProtection="1">
      <alignment horizontal="right"/>
    </xf>
    <xf numFmtId="0" fontId="6" fillId="3" borderId="8" xfId="0" applyFont="1" applyFill="1" applyBorder="1" applyAlignment="1" applyProtection="1">
      <alignment horizontal="right"/>
    </xf>
    <xf numFmtId="0" fontId="6" fillId="2" borderId="6" xfId="0" applyFont="1" applyFill="1" applyBorder="1" applyAlignment="1" applyProtection="1">
      <alignment horizontal="right"/>
    </xf>
    <xf numFmtId="166" fontId="6" fillId="2" borderId="0" xfId="0" applyNumberFormat="1" applyFont="1" applyFill="1" applyProtection="1"/>
    <xf numFmtId="165" fontId="6" fillId="2" borderId="5" xfId="0" applyNumberFormat="1" applyFont="1" applyFill="1" applyBorder="1" applyAlignment="1" applyProtection="1">
      <alignment horizontal="right"/>
    </xf>
    <xf numFmtId="1" fontId="6" fillId="2" borderId="5" xfId="0" applyNumberFormat="1" applyFont="1" applyFill="1" applyBorder="1" applyAlignment="1" applyProtection="1">
      <alignment horizontal="right"/>
    </xf>
    <xf numFmtId="1" fontId="10" fillId="2" borderId="0" xfId="0" applyNumberFormat="1" applyFont="1" applyFill="1" applyProtection="1"/>
    <xf numFmtId="166" fontId="10" fillId="2" borderId="0" xfId="0" applyNumberFormat="1" applyFont="1" applyFill="1" applyProtection="1"/>
    <xf numFmtId="1" fontId="6" fillId="2" borderId="4" xfId="0" applyNumberFormat="1" applyFont="1" applyFill="1" applyBorder="1" applyAlignment="1" applyProtection="1">
      <alignment horizontal="right"/>
    </xf>
    <xf numFmtId="1" fontId="6" fillId="3" borderId="5" xfId="0" applyNumberFormat="1" applyFont="1" applyFill="1" applyBorder="1" applyAlignment="1" applyProtection="1">
      <alignment horizontal="right"/>
    </xf>
    <xf numFmtId="1" fontId="6" fillId="2" borderId="16" xfId="0" applyNumberFormat="1" applyFont="1" applyFill="1" applyBorder="1" applyAlignment="1" applyProtection="1">
      <alignment horizontal="right"/>
    </xf>
    <xf numFmtId="0" fontId="10" fillId="3" borderId="3" xfId="0" applyFont="1" applyFill="1" applyBorder="1" applyAlignment="1" applyProtection="1">
      <alignment horizontal="right"/>
    </xf>
    <xf numFmtId="1" fontId="6" fillId="2" borderId="0" xfId="0" applyNumberFormat="1" applyFont="1" applyFill="1" applyBorder="1" applyAlignment="1" applyProtection="1">
      <alignment horizontal="right"/>
    </xf>
    <xf numFmtId="0" fontId="10" fillId="4" borderId="20" xfId="0" applyFont="1" applyFill="1" applyBorder="1" applyAlignment="1" applyProtection="1">
      <alignment horizontal="left"/>
    </xf>
    <xf numFmtId="0" fontId="10" fillId="4" borderId="21" xfId="0" applyFont="1" applyFill="1" applyBorder="1" applyAlignment="1" applyProtection="1">
      <alignment horizontal="left"/>
    </xf>
    <xf numFmtId="0" fontId="6" fillId="4" borderId="21" xfId="0" applyFont="1" applyFill="1" applyBorder="1" applyProtection="1"/>
    <xf numFmtId="0" fontId="6" fillId="4" borderId="21" xfId="0" applyFont="1" applyFill="1" applyBorder="1" applyAlignment="1" applyProtection="1">
      <alignment horizontal="right"/>
    </xf>
    <xf numFmtId="0" fontId="6" fillId="4" borderId="22" xfId="0" applyFont="1" applyFill="1" applyBorder="1" applyProtection="1"/>
    <xf numFmtId="0" fontId="6" fillId="2" borderId="2" xfId="0" applyFont="1" applyFill="1" applyBorder="1" applyAlignment="1" applyProtection="1">
      <alignment horizontal="left"/>
    </xf>
    <xf numFmtId="0" fontId="6" fillId="2" borderId="0" xfId="0" applyFont="1" applyFill="1" applyBorder="1" applyAlignment="1" applyProtection="1">
      <alignment horizontal="left"/>
    </xf>
    <xf numFmtId="0" fontId="6" fillId="2" borderId="0" xfId="0" applyFont="1" applyFill="1" applyBorder="1" applyProtection="1"/>
    <xf numFmtId="0" fontId="6" fillId="2" borderId="0" xfId="0" applyFont="1" applyFill="1" applyBorder="1" applyAlignment="1" applyProtection="1">
      <alignment horizontal="right"/>
    </xf>
    <xf numFmtId="0" fontId="6" fillId="2" borderId="23" xfId="0" applyFont="1" applyFill="1" applyBorder="1" applyProtection="1"/>
    <xf numFmtId="0" fontId="14" fillId="2" borderId="2" xfId="1" applyFont="1" applyFill="1" applyBorder="1" applyAlignment="1" applyProtection="1">
      <alignment horizontal="left"/>
    </xf>
    <xf numFmtId="0" fontId="6" fillId="2" borderId="24" xfId="0" applyFont="1" applyFill="1" applyBorder="1" applyAlignment="1" applyProtection="1">
      <alignment horizontal="left"/>
    </xf>
    <xf numFmtId="0" fontId="6" fillId="2" borderId="25" xfId="0" applyFont="1" applyFill="1" applyBorder="1" applyAlignment="1" applyProtection="1">
      <alignment horizontal="left"/>
    </xf>
    <xf numFmtId="0" fontId="6" fillId="2" borderId="25" xfId="0" applyFont="1" applyFill="1" applyBorder="1" applyProtection="1"/>
    <xf numFmtId="0" fontId="6" fillId="2" borderId="25" xfId="0" applyFont="1" applyFill="1" applyBorder="1" applyAlignment="1" applyProtection="1">
      <alignment horizontal="right"/>
    </xf>
    <xf numFmtId="0" fontId="6" fillId="2" borderId="26" xfId="0" applyFont="1" applyFill="1" applyBorder="1" applyProtection="1"/>
  </cellXfs>
  <cellStyles count="3">
    <cellStyle name="Hyperlink" xfId="1" builtinId="8"/>
    <cellStyle name="Normal" xfId="0" builtinId="0"/>
    <cellStyle name="Normal_LM315x Design Guide Ver1.8" xfId="2" xr:uid="{00000000-0005-0000-0000-000002000000}"/>
  </cellStyles>
  <dxfs count="22">
    <dxf>
      <font>
        <condense val="0"/>
        <extend val="0"/>
        <color indexed="9"/>
      </font>
      <fill>
        <patternFill>
          <bgColor indexed="9"/>
        </patternFill>
      </fill>
      <border>
        <left/>
        <right/>
        <top/>
        <bottom/>
      </border>
    </dxf>
    <dxf>
      <font>
        <b/>
        <i val="0"/>
        <condense val="0"/>
        <extend val="0"/>
        <color indexed="10"/>
      </font>
      <fill>
        <patternFill>
          <bgColor indexed="41"/>
        </patternFill>
      </fill>
      <border>
        <left style="thin">
          <color indexed="64"/>
        </left>
        <right style="thin">
          <color indexed="64"/>
        </right>
        <top style="thin">
          <color indexed="64"/>
        </top>
        <bottom style="thin">
          <color indexed="64"/>
        </bottom>
      </border>
    </dxf>
    <dxf>
      <font>
        <b/>
        <i val="0"/>
        <condense val="0"/>
        <extend val="0"/>
        <color indexed="10"/>
      </font>
    </dxf>
    <dxf>
      <font>
        <b/>
        <i val="0"/>
        <condense val="0"/>
        <extend val="0"/>
        <color indexed="10"/>
      </font>
      <fill>
        <patternFill>
          <bgColor indexed="41"/>
        </patternFill>
      </fill>
    </dxf>
    <dxf>
      <font>
        <b/>
        <i val="0"/>
        <condense val="0"/>
        <extend val="0"/>
        <color indexed="10"/>
      </font>
      <fill>
        <patternFill>
          <bgColor indexed="41"/>
        </patternFill>
      </fill>
    </dxf>
    <dxf>
      <font>
        <b/>
        <i val="0"/>
        <condense val="0"/>
        <extend val="0"/>
        <color indexed="10"/>
      </font>
      <fill>
        <patternFill>
          <bgColor indexed="41"/>
        </patternFill>
      </fill>
    </dxf>
    <dxf>
      <font>
        <b/>
        <i val="0"/>
        <condense val="0"/>
        <extend val="0"/>
        <color indexed="10"/>
      </font>
      <fill>
        <patternFill>
          <bgColor indexed="41"/>
        </patternFill>
      </fill>
    </dxf>
    <dxf>
      <font>
        <b/>
        <i val="0"/>
        <condense val="0"/>
        <extend val="0"/>
        <color indexed="10"/>
      </font>
    </dxf>
    <dxf>
      <font>
        <b/>
        <i val="0"/>
        <condense val="0"/>
        <extend val="0"/>
        <color indexed="10"/>
      </font>
      <fill>
        <patternFill>
          <bgColor indexed="41"/>
        </patternFill>
      </fill>
    </dxf>
    <dxf>
      <font>
        <b/>
        <i val="0"/>
        <condense val="0"/>
        <extend val="0"/>
        <color indexed="10"/>
      </font>
    </dxf>
    <dxf>
      <font>
        <b/>
        <i val="0"/>
        <condense val="0"/>
        <extend val="0"/>
        <color indexed="10"/>
      </font>
      <fill>
        <patternFill>
          <bgColor indexed="41"/>
        </patternFill>
      </fill>
    </dxf>
    <dxf>
      <font>
        <b/>
        <i val="0"/>
        <condense val="0"/>
        <extend val="0"/>
        <color indexed="10"/>
      </font>
      <fill>
        <patternFill>
          <bgColor indexed="41"/>
        </patternFill>
      </fill>
    </dxf>
    <dxf>
      <font>
        <b/>
        <i val="0"/>
        <condense val="0"/>
        <extend val="0"/>
        <color indexed="10"/>
      </font>
      <fill>
        <patternFill>
          <bgColor indexed="41"/>
        </patternFill>
      </fill>
    </dxf>
    <dxf>
      <font>
        <b/>
        <i val="0"/>
        <condense val="0"/>
        <extend val="0"/>
        <color indexed="10"/>
      </font>
      <fill>
        <patternFill>
          <bgColor indexed="41"/>
        </patternFill>
      </fill>
    </dxf>
    <dxf>
      <font>
        <b/>
        <i val="0"/>
        <condense val="0"/>
        <extend val="0"/>
        <color indexed="10"/>
      </font>
      <fill>
        <patternFill patternType="solid">
          <bgColor indexed="41"/>
        </patternFill>
      </fill>
    </dxf>
    <dxf>
      <font>
        <condense val="0"/>
        <extend val="0"/>
        <color indexed="9"/>
      </font>
      <fill>
        <patternFill>
          <bgColor indexed="9"/>
        </patternFill>
      </fill>
      <border>
        <left/>
        <right/>
        <top style="thin">
          <color indexed="64"/>
        </top>
        <bottom style="thin">
          <color indexed="64"/>
        </bottom>
      </border>
    </dxf>
    <dxf>
      <font>
        <condense val="0"/>
        <extend val="0"/>
        <color indexed="9"/>
      </font>
      <border>
        <left/>
        <right/>
        <top/>
        <bottom/>
      </border>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patternType="none">
          <bgColor indexed="6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US"/>
              <a:t>Openloop Gain/Phase</a:t>
            </a:r>
          </a:p>
        </c:rich>
      </c:tx>
      <c:layout>
        <c:manualLayout>
          <c:xMode val="edge"/>
          <c:yMode val="edge"/>
          <c:x val="0.37213454045116606"/>
          <c:y val="3.0796244052381152E-2"/>
        </c:manualLayout>
      </c:layout>
      <c:overlay val="0"/>
      <c:spPr>
        <a:noFill/>
        <a:ln w="25400">
          <a:noFill/>
        </a:ln>
      </c:spPr>
    </c:title>
    <c:autoTitleDeleted val="0"/>
    <c:plotArea>
      <c:layout>
        <c:manualLayout>
          <c:layoutTarget val="inner"/>
          <c:xMode val="edge"/>
          <c:yMode val="edge"/>
          <c:x val="0.18096870239454646"/>
          <c:y val="0.12704394468966934"/>
          <c:w val="0.59366562126991451"/>
          <c:h val="0.71462218887939011"/>
        </c:manualLayout>
      </c:layout>
      <c:scatterChart>
        <c:scatterStyle val="smoothMarker"/>
        <c:varyColors val="0"/>
        <c:ser>
          <c:idx val="0"/>
          <c:order val="0"/>
          <c:tx>
            <c:v>Gain</c:v>
          </c:tx>
          <c:spPr>
            <a:ln w="25400">
              <a:solidFill>
                <a:srgbClr val="0000FF"/>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'LM(2)5117'!$X$82:$X$172</c:f>
              <c:numCache>
                <c:formatCode>0.0</c:formatCode>
                <c:ptCount val="91"/>
                <c:pt idx="0">
                  <c:v>59.94394016016274</c:v>
                </c:pt>
                <c:pt idx="1">
                  <c:v>56.474330190037662</c:v>
                </c:pt>
                <c:pt idx="2">
                  <c:v>54.044079515256335</c:v>
                </c:pt>
                <c:pt idx="3">
                  <c:v>52.186966984704441</c:v>
                </c:pt>
                <c:pt idx="4">
                  <c:v>50.693113870433464</c:v>
                </c:pt>
                <c:pt idx="5">
                  <c:v>49.448992221034828</c:v>
                </c:pt>
                <c:pt idx="6">
                  <c:v>48.385852794575982</c:v>
                </c:pt>
                <c:pt idx="7">
                  <c:v>47.458834796432697</c:v>
                </c:pt>
                <c:pt idx="8">
                  <c:v>46.637119826638596</c:v>
                </c:pt>
                <c:pt idx="9">
                  <c:v>45.898744099007516</c:v>
                </c:pt>
                <c:pt idx="10">
                  <c:v>45.227619706797881</c:v>
                </c:pt>
                <c:pt idx="11">
                  <c:v>44.61170620890848</c:v>
                </c:pt>
                <c:pt idx="12">
                  <c:v>44.041829429969681</c:v>
                </c:pt>
                <c:pt idx="13">
                  <c:v>43.510888409928299</c:v>
                </c:pt>
                <c:pt idx="14">
                  <c:v>43.013307385844882</c:v>
                </c:pt>
                <c:pt idx="15">
                  <c:v>42.5446487610688</c:v>
                </c:pt>
                <c:pt idx="16">
                  <c:v>42.101335107729518</c:v>
                </c:pt>
                <c:pt idx="17">
                  <c:v>41.680446730273275</c:v>
                </c:pt>
                <c:pt idx="18">
                  <c:v>41.279572520445797</c:v>
                </c:pt>
                <c:pt idx="19">
                  <c:v>38.045068144710029</c:v>
                </c:pt>
                <c:pt idx="20">
                  <c:v>35.67780307287039</c:v>
                </c:pt>
                <c:pt idx="21">
                  <c:v>33.807892706836782</c:v>
                </c:pt>
                <c:pt idx="22">
                  <c:v>32.263636483408362</c:v>
                </c:pt>
                <c:pt idx="23">
                  <c:v>30.949284008310805</c:v>
                </c:pt>
                <c:pt idx="24">
                  <c:v>29.805768468839922</c:v>
                </c:pt>
                <c:pt idx="25">
                  <c:v>28.794093081504542</c:v>
                </c:pt>
                <c:pt idx="26">
                  <c:v>27.887184279527677</c:v>
                </c:pt>
                <c:pt idx="27">
                  <c:v>27.06549520976575</c:v>
                </c:pt>
                <c:pt idx="28">
                  <c:v>26.31446112488814</c:v>
                </c:pt>
                <c:pt idx="29">
                  <c:v>25.622943995294062</c:v>
                </c:pt>
                <c:pt idx="30">
                  <c:v>24.982238781605055</c:v>
                </c:pt>
                <c:pt idx="31">
                  <c:v>24.385414773125177</c:v>
                </c:pt>
                <c:pt idx="32">
                  <c:v>23.826865215533672</c:v>
                </c:pt>
                <c:pt idx="33">
                  <c:v>23.301991022795207</c:v>
                </c:pt>
                <c:pt idx="34">
                  <c:v>22.806973440734374</c:v>
                </c:pt>
                <c:pt idx="35">
                  <c:v>22.338607288040947</c:v>
                </c:pt>
                <c:pt idx="36">
                  <c:v>21.89417641309657</c:v>
                </c:pt>
                <c:pt idx="37">
                  <c:v>18.378969972154952</c:v>
                </c:pt>
                <c:pt idx="38">
                  <c:v>15.884202501199701</c:v>
                </c:pt>
                <c:pt idx="39">
                  <c:v>13.949702369493712</c:v>
                </c:pt>
                <c:pt idx="40">
                  <c:v>12.370038908360408</c:v>
                </c:pt>
                <c:pt idx="41">
                  <c:v>11.035517965986443</c:v>
                </c:pt>
                <c:pt idx="42">
                  <c:v>9.8806242971430009</c:v>
                </c:pt>
                <c:pt idx="43">
                  <c:v>8.8630829632101715</c:v>
                </c:pt>
                <c:pt idx="44">
                  <c:v>7.9540202406327651</c:v>
                </c:pt>
                <c:pt idx="45">
                  <c:v>7.1328360810075688</c:v>
                </c:pt>
                <c:pt idx="46">
                  <c:v>6.384315988071509</c:v>
                </c:pt>
                <c:pt idx="47">
                  <c:v>5.6969024330240252</c:v>
                </c:pt>
                <c:pt idx="48">
                  <c:v>5.0616084826784622</c:v>
                </c:pt>
                <c:pt idx="49">
                  <c:v>4.4713070368312575</c:v>
                </c:pt>
                <c:pt idx="50">
                  <c:v>3.9202498746156023</c:v>
                </c:pt>
                <c:pt idx="51">
                  <c:v>3.4037327422578354</c:v>
                </c:pt>
                <c:pt idx="52">
                  <c:v>2.9178563057197042</c:v>
                </c:pt>
                <c:pt idx="53">
                  <c:v>2.4593518192991635</c:v>
                </c:pt>
                <c:pt idx="54">
                  <c:v>2.0254515647740181</c:v>
                </c:pt>
                <c:pt idx="55">
                  <c:v>-1.3549708162258796</c:v>
                </c:pt>
                <c:pt idx="56">
                  <c:v>-3.6768668979763888</c:v>
                </c:pt>
                <c:pt idx="57">
                  <c:v>-5.4174574643797495</c:v>
                </c:pt>
                <c:pt idx="58">
                  <c:v>-6.7958288517681318</c:v>
                </c:pt>
                <c:pt idx="59">
                  <c:v>-7.9320735433794383</c:v>
                </c:pt>
                <c:pt idx="60">
                  <c:v>-8.8988851455009765</c:v>
                </c:pt>
                <c:pt idx="61">
                  <c:v>-9.7429424062482326</c:v>
                </c:pt>
                <c:pt idx="62">
                  <c:v>-10.495384073684193</c:v>
                </c:pt>
                <c:pt idx="63">
                  <c:v>-11.177566114551833</c:v>
                </c:pt>
                <c:pt idx="64">
                  <c:v>-11.804475527946678</c:v>
                </c:pt>
                <c:pt idx="65">
                  <c:v>-12.386854807444141</c:v>
                </c:pt>
                <c:pt idx="66">
                  <c:v>-12.932565562021763</c:v>
                </c:pt>
                <c:pt idx="67">
                  <c:v>-13.447482329767775</c:v>
                </c:pt>
                <c:pt idx="68">
                  <c:v>-13.936087729229314</c:v>
                </c:pt>
                <c:pt idx="69">
                  <c:v>-14.401874020684181</c:v>
                </c:pt>
                <c:pt idx="70">
                  <c:v>-14.84761739366945</c:v>
                </c:pt>
                <c:pt idx="71">
                  <c:v>-15.275567609370116</c:v>
                </c:pt>
                <c:pt idx="72">
                  <c:v>-15.687580760973111</c:v>
                </c:pt>
                <c:pt idx="73">
                  <c:v>-19.188510563257243</c:v>
                </c:pt>
                <c:pt idx="74">
                  <c:v>-22.017465207766495</c:v>
                </c:pt>
                <c:pt idx="75">
                  <c:v>-24.513249158032025</c:v>
                </c:pt>
                <c:pt idx="76">
                  <c:v>-26.84360532709421</c:v>
                </c:pt>
                <c:pt idx="77">
                  <c:v>-29.097840454077712</c:v>
                </c:pt>
                <c:pt idx="78">
                  <c:v>-31.319456199399575</c:v>
                </c:pt>
                <c:pt idx="79">
                  <c:v>-33.522940714711865</c:v>
                </c:pt>
                <c:pt idx="80">
                  <c:v>-35.705662087943686</c:v>
                </c:pt>
                <c:pt idx="81">
                  <c:v>-37.857001146682848</c:v>
                </c:pt>
                <c:pt idx="82">
                  <c:v>-39.964592124855642</c:v>
                </c:pt>
                <c:pt idx="83">
                  <c:v>-42.017760440663608</c:v>
                </c:pt>
                <c:pt idx="84">
                  <c:v>-44.008844510714873</c:v>
                </c:pt>
                <c:pt idx="85">
                  <c:v>-45.933267002827229</c:v>
                </c:pt>
                <c:pt idx="86">
                  <c:v>-47.78904242969687</c:v>
                </c:pt>
                <c:pt idx="87">
                  <c:v>-49.576135005122978</c:v>
                </c:pt>
                <c:pt idx="88">
                  <c:v>-51.295864369716121</c:v>
                </c:pt>
                <c:pt idx="89">
                  <c:v>-52.950427784877277</c:v>
                </c:pt>
                <c:pt idx="90">
                  <c:v>-54.54254468509518</c:v>
                </c:pt>
              </c:numCache>
            </c:numRef>
          </c:yVal>
          <c:smooth val="1"/>
          <c:extLst>
            <c:ext xmlns:c16="http://schemas.microsoft.com/office/drawing/2014/chart" uri="{C3380CC4-5D6E-409C-BE32-E72D297353CC}">
              <c16:uniqueId val="{00000000-BD53-4F2F-A775-01768EB85E4E}"/>
            </c:ext>
          </c:extLst>
        </c:ser>
        <c:ser>
          <c:idx val="2"/>
          <c:order val="2"/>
          <c:spPr>
            <a:ln w="12700">
              <a:solidFill>
                <a:srgbClr val="00FFFF"/>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'LM(2)5117'!$AB$82:$AB$172</c:f>
              <c:numCache>
                <c:formatCode>0.0</c:formatCode>
                <c:ptCount val="91"/>
                <c:pt idx="0">
                  <c:v>59.944105573431827</c:v>
                </c:pt>
                <c:pt idx="1">
                  <c:v>56.474694464089005</c:v>
                </c:pt>
                <c:pt idx="2">
                  <c:v>54.044708409698742</c:v>
                </c:pt>
                <c:pt idx="3">
                  <c:v>52.187914445854425</c:v>
                </c:pt>
                <c:pt idx="4">
                  <c:v>50.694421000725612</c:v>
                </c:pt>
                <c:pt idx="5">
                  <c:v>49.450687348283495</c:v>
                </c:pt>
                <c:pt idx="6">
                  <c:v>48.387952406951257</c:v>
                </c:pt>
                <c:pt idx="7">
                  <c:v>47.461345049442592</c:v>
                </c:pt>
                <c:pt idx="8">
                  <c:v>46.640038336682721</c:v>
                </c:pt>
                <c:pt idx="9">
                  <c:v>45.902061789645309</c:v>
                </c:pt>
                <c:pt idx="10">
                  <c:v>45.231322542968904</c:v>
                </c:pt>
                <c:pt idx="11">
                  <c:v>44.615776721610118</c:v>
                </c:pt>
                <c:pt idx="12">
                  <c:v>44.046247988620479</c:v>
                </c:pt>
                <c:pt idx="13">
                  <c:v>43.515634238348753</c:v>
                </c:pt>
                <c:pt idx="14">
                  <c:v>43.018359341569436</c:v>
                </c:pt>
                <c:pt idx="15">
                  <c:v>42.549985909752259</c:v>
                </c:pt>
                <c:pt idx="16">
                  <c:v>42.106937128329918</c:v>
                </c:pt>
                <c:pt idx="17">
                  <c:v>41.686294185611047</c:v>
                </c:pt>
                <c:pt idx="18">
                  <c:v>41.285647024009336</c:v>
                </c:pt>
                <c:pt idx="19">
                  <c:v>38.052646779209951</c:v>
                </c:pt>
                <c:pt idx="20">
                  <c:v>35.686076788079788</c:v>
                </c:pt>
                <c:pt idx="21">
                  <c:v>33.816504253174983</c:v>
                </c:pt>
                <c:pt idx="22">
                  <c:v>32.272410898659565</c:v>
                </c:pt>
                <c:pt idx="23">
                  <c:v>30.958124558259854</c:v>
                </c:pt>
                <c:pt idx="24">
                  <c:v>29.814615344743991</c:v>
                </c:pt>
                <c:pt idx="25">
                  <c:v>28.802905470200745</c:v>
                </c:pt>
                <c:pt idx="26">
                  <c:v>27.895931868167324</c:v>
                </c:pt>
                <c:pt idx="27">
                  <c:v>27.074153845076502</c:v>
                </c:pt>
                <c:pt idx="28">
                  <c:v>26.323010449690095</c:v>
                </c:pt>
                <c:pt idx="29">
                  <c:v>25.631366090905406</c:v>
                </c:pt>
                <c:pt idx="30">
                  <c:v>24.990517351881497</c:v>
                </c:pt>
                <c:pt idx="31">
                  <c:v>24.393534634669855</c:v>
                </c:pt>
                <c:pt idx="32">
                  <c:v>23.83481196836944</c:v>
                </c:pt>
                <c:pt idx="33">
                  <c:v>23.309750831342136</c:v>
                </c:pt>
                <c:pt idx="34">
                  <c:v>22.81453288438567</c:v>
                </c:pt>
                <c:pt idx="35">
                  <c:v>22.345953256899399</c:v>
                </c:pt>
                <c:pt idx="36">
                  <c:v>21.901296033754342</c:v>
                </c:pt>
                <c:pt idx="37">
                  <c:v>18.383144550538354</c:v>
                </c:pt>
                <c:pt idx="38">
                  <c:v>15.884226270785751</c:v>
                </c:pt>
                <c:pt idx="39">
                  <c:v>13.944386820223848</c:v>
                </c:pt>
                <c:pt idx="40">
                  <c:v>12.358203458316668</c:v>
                </c:pt>
                <c:pt idx="41">
                  <c:v>11.015988703597603</c:v>
                </c:pt>
                <c:pt idx="42">
                  <c:v>9.8522342643282244</c:v>
                </c:pt>
                <c:pt idx="43">
                  <c:v>8.8246728462573891</c:v>
                </c:pt>
                <c:pt idx="44">
                  <c:v>7.904439185762743</c:v>
                </c:pt>
                <c:pt idx="45">
                  <c:v>7.0709425449088439</c:v>
                </c:pt>
                <c:pt idx="46">
                  <c:v>6.3089785892902199</c:v>
                </c:pt>
                <c:pt idx="47">
                  <c:v>5.6070007890148812</c:v>
                </c:pt>
                <c:pt idx="48">
                  <c:v>4.9560340246717107</c:v>
                </c:pt>
                <c:pt idx="49">
                  <c:v>4.3489637978620248</c:v>
                </c:pt>
                <c:pt idx="50">
                  <c:v>3.7800552476187921</c:v>
                </c:pt>
                <c:pt idx="51">
                  <c:v>3.2446182059679192</c:v>
                </c:pt>
                <c:pt idx="52">
                  <c:v>2.7387681166375515</c:v>
                </c:pt>
                <c:pt idx="53">
                  <c:v>2.2592516683426727</c:v>
                </c:pt>
                <c:pt idx="54">
                  <c:v>1.8033171975114186</c:v>
                </c:pt>
                <c:pt idx="55">
                  <c:v>-1.8497718768069369</c:v>
                </c:pt>
                <c:pt idx="56">
                  <c:v>-4.5257586198519437</c:v>
                </c:pt>
                <c:pt idx="57">
                  <c:v>-6.6813795561760951</c:v>
                </c:pt>
                <c:pt idx="58">
                  <c:v>-8.5163324323659673</c:v>
                </c:pt>
                <c:pt idx="59">
                  <c:v>-10.134110942959623</c:v>
                </c:pt>
                <c:pt idx="60">
                  <c:v>-11.594201459375522</c:v>
                </c:pt>
                <c:pt idx="61">
                  <c:v>-12.933348601204127</c:v>
                </c:pt>
                <c:pt idx="62">
                  <c:v>-14.175558493923223</c:v>
                </c:pt>
                <c:pt idx="63">
                  <c:v>-15.337283094055088</c:v>
                </c:pt>
                <c:pt idx="64">
                  <c:v>-16.430294730348514</c:v>
                </c:pt>
                <c:pt idx="65">
                  <c:v>-17.463359226837415</c:v>
                </c:pt>
                <c:pt idx="66">
                  <c:v>-18.443245960402002</c:v>
                </c:pt>
                <c:pt idx="67">
                  <c:v>-19.375355757737474</c:v>
                </c:pt>
                <c:pt idx="68">
                  <c:v>-20.264121268874927</c:v>
                </c:pt>
                <c:pt idx="69">
                  <c:v>-21.113268405840103</c:v>
                </c:pt>
                <c:pt idx="70">
                  <c:v>-21.925991138625783</c:v>
                </c:pt>
                <c:pt idx="71">
                  <c:v>-22.705071236353533</c:v>
                </c:pt>
                <c:pt idx="72">
                  <c:v>-23.45296239359913</c:v>
                </c:pt>
                <c:pt idx="73">
                  <c:v>-29.608803894028366</c:v>
                </c:pt>
                <c:pt idx="74">
                  <c:v>-34.160079496268928</c:v>
                </c:pt>
                <c:pt idx="75">
                  <c:v>-37.77552664107764</c:v>
                </c:pt>
                <c:pt idx="76">
                  <c:v>-40.816624531666761</c:v>
                </c:pt>
                <c:pt idx="77">
                  <c:v>-43.495244254606625</c:v>
                </c:pt>
                <c:pt idx="78">
                  <c:v>-45.93724962756194</c:v>
                </c:pt>
                <c:pt idx="79">
                  <c:v>-48.214579884652373</c:v>
                </c:pt>
                <c:pt idx="80">
                  <c:v>-50.365569928640731</c:v>
                </c:pt>
                <c:pt idx="81">
                  <c:v>-52.409207062429061</c:v>
                </c:pt>
                <c:pt idx="82">
                  <c:v>-54.354711287804321</c:v>
                </c:pt>
                <c:pt idx="83">
                  <c:v>-56.207246150430493</c:v>
                </c:pt>
                <c:pt idx="84">
                  <c:v>-57.970828025119779</c:v>
                </c:pt>
                <c:pt idx="85">
                  <c:v>-59.649523472665095</c:v>
                </c:pt>
                <c:pt idx="86">
                  <c:v>-61.247763934076225</c:v>
                </c:pt>
                <c:pt idx="87">
                  <c:v>-62.770286535497455</c:v>
                </c:pt>
                <c:pt idx="88">
                  <c:v>-64.221963624562733</c:v>
                </c:pt>
                <c:pt idx="89">
                  <c:v>-65.607634940509016</c:v>
                </c:pt>
                <c:pt idx="90">
                  <c:v>-66.931980200898579</c:v>
                </c:pt>
              </c:numCache>
            </c:numRef>
          </c:yVal>
          <c:smooth val="1"/>
          <c:extLst>
            <c:ext xmlns:c16="http://schemas.microsoft.com/office/drawing/2014/chart" uri="{C3380CC4-5D6E-409C-BE32-E72D297353CC}">
              <c16:uniqueId val="{00000001-BD53-4F2F-A775-01768EB85E4E}"/>
            </c:ext>
          </c:extLst>
        </c:ser>
        <c:dLbls>
          <c:showLegendKey val="0"/>
          <c:showVal val="0"/>
          <c:showCatName val="0"/>
          <c:showSerName val="0"/>
          <c:showPercent val="0"/>
          <c:showBubbleSize val="0"/>
        </c:dLbls>
        <c:axId val="1771247056"/>
        <c:axId val="1"/>
      </c:scatterChart>
      <c:scatterChart>
        <c:scatterStyle val="lineMarker"/>
        <c:varyColors val="0"/>
        <c:ser>
          <c:idx val="1"/>
          <c:order val="1"/>
          <c:tx>
            <c:v>Phase</c:v>
          </c:tx>
          <c:spPr>
            <a:ln w="25400">
              <a:solidFill>
                <a:srgbClr val="FF0000"/>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'LM(2)5117'!$Y$82:$Y$172</c:f>
              <c:numCache>
                <c:formatCode>0.0</c:formatCode>
                <c:ptCount val="91"/>
                <c:pt idx="0">
                  <c:v>91.931444012104578</c:v>
                </c:pt>
                <c:pt idx="1">
                  <c:v>92.819312784751006</c:v>
                </c:pt>
                <c:pt idx="2">
                  <c:v>93.622929287527498</c:v>
                </c:pt>
                <c:pt idx="3">
                  <c:v>94.327396260723049</c:v>
                </c:pt>
                <c:pt idx="4">
                  <c:v>94.925692116840224</c:v>
                </c:pt>
                <c:pt idx="5">
                  <c:v>95.417685214155995</c:v>
                </c:pt>
                <c:pt idx="6">
                  <c:v>95.808538055400746</c:v>
                </c:pt>
                <c:pt idx="7">
                  <c:v>96.106951409906287</c:v>
                </c:pt>
                <c:pt idx="8">
                  <c:v>96.323569378182697</c:v>
                </c:pt>
                <c:pt idx="9">
                  <c:v>96.469711829583005</c:v>
                </c:pt>
                <c:pt idx="10">
                  <c:v>96.556475660179373</c:v>
                </c:pt>
                <c:pt idx="11">
                  <c:v>96.594169379839514</c:v>
                </c:pt>
                <c:pt idx="12">
                  <c:v>96.592011378841136</c:v>
                </c:pt>
                <c:pt idx="13">
                  <c:v>96.558016727253687</c:v>
                </c:pt>
                <c:pt idx="14">
                  <c:v>96.499006866131253</c:v>
                </c:pt>
                <c:pt idx="15">
                  <c:v>96.420691429084115</c:v>
                </c:pt>
                <c:pt idx="16">
                  <c:v>96.327786240769143</c:v>
                </c:pt>
                <c:pt idx="17">
                  <c:v>96.224143875908553</c:v>
                </c:pt>
                <c:pt idx="18">
                  <c:v>96.112882426175474</c:v>
                </c:pt>
                <c:pt idx="19">
                  <c:v>94.940038614172124</c:v>
                </c:pt>
                <c:pt idx="20">
                  <c:v>94.010730130166962</c:v>
                </c:pt>
                <c:pt idx="21">
                  <c:v>93.343243452818584</c:v>
                </c:pt>
                <c:pt idx="22">
                  <c:v>92.857577454822078</c:v>
                </c:pt>
                <c:pt idx="23">
                  <c:v>92.493820239012436</c:v>
                </c:pt>
                <c:pt idx="24">
                  <c:v>92.213536955672978</c:v>
                </c:pt>
                <c:pt idx="25">
                  <c:v>91.99218880843182</c:v>
                </c:pt>
                <c:pt idx="26">
                  <c:v>91.81371573850673</c:v>
                </c:pt>
                <c:pt idx="27">
                  <c:v>91.66728333949483</c:v>
                </c:pt>
                <c:pt idx="28">
                  <c:v>91.545364280511677</c:v>
                </c:pt>
                <c:pt idx="29">
                  <c:v>91.442586783393494</c:v>
                </c:pt>
                <c:pt idx="30">
                  <c:v>91.355024602835229</c:v>
                </c:pt>
                <c:pt idx="31">
                  <c:v>91.279746586796463</c:v>
                </c:pt>
                <c:pt idx="32">
                  <c:v>91.214522997520078</c:v>
                </c:pt>
                <c:pt idx="33">
                  <c:v>91.157629128455085</c:v>
                </c:pt>
                <c:pt idx="34">
                  <c:v>91.107710912138174</c:v>
                </c:pt>
                <c:pt idx="35">
                  <c:v>91.063690999896806</c:v>
                </c:pt>
                <c:pt idx="36">
                  <c:v>91.024701863766708</c:v>
                </c:pt>
                <c:pt idx="37">
                  <c:v>90.802048817927201</c:v>
                </c:pt>
                <c:pt idx="38">
                  <c:v>90.724766754121489</c:v>
                </c:pt>
                <c:pt idx="39">
                  <c:v>90.705683469252364</c:v>
                </c:pt>
                <c:pt idx="40">
                  <c:v>90.715398283154741</c:v>
                </c:pt>
                <c:pt idx="41">
                  <c:v>90.741191376704521</c:v>
                </c:pt>
                <c:pt idx="42">
                  <c:v>90.776628557207601</c:v>
                </c:pt>
                <c:pt idx="43">
                  <c:v>90.818077464913515</c:v>
                </c:pt>
                <c:pt idx="44">
                  <c:v>90.863309981167617</c:v>
                </c:pt>
                <c:pt idx="45">
                  <c:v>90.910865887331795</c:v>
                </c:pt>
                <c:pt idx="46">
                  <c:v>90.959734399394023</c:v>
                </c:pt>
                <c:pt idx="47">
                  <c:v>91.009182625155873</c:v>
                </c:pt>
                <c:pt idx="48">
                  <c:v>91.058657553783192</c:v>
                </c:pt>
                <c:pt idx="49">
                  <c:v>91.107727287024758</c:v>
                </c:pt>
                <c:pt idx="50">
                  <c:v>91.156044351016362</c:v>
                </c:pt>
                <c:pt idx="51">
                  <c:v>91.203321996915449</c:v>
                </c:pt>
                <c:pt idx="52">
                  <c:v>91.249318436532718</c:v>
                </c:pt>
                <c:pt idx="53">
                  <c:v>91.293826085708403</c:v>
                </c:pt>
                <c:pt idx="54">
                  <c:v>91.336664058433641</c:v>
                </c:pt>
                <c:pt idx="55">
                  <c:v>91.645036099376199</c:v>
                </c:pt>
                <c:pt idx="56">
                  <c:v>91.681600154086127</c:v>
                </c:pt>
                <c:pt idx="57">
                  <c:v>91.414869317158335</c:v>
                </c:pt>
                <c:pt idx="58">
                  <c:v>90.851609861208743</c:v>
                </c:pt>
                <c:pt idx="59">
                  <c:v>90.0211366788281</c:v>
                </c:pt>
                <c:pt idx="60">
                  <c:v>88.963405125838847</c:v>
                </c:pt>
                <c:pt idx="61">
                  <c:v>87.720652933883258</c:v>
                </c:pt>
                <c:pt idx="62">
                  <c:v>86.332402971073236</c:v>
                </c:pt>
                <c:pt idx="63">
                  <c:v>84.833053040522856</c:v>
                </c:pt>
                <c:pt idx="64">
                  <c:v>83.251153811366663</c:v>
                </c:pt>
                <c:pt idx="65">
                  <c:v>81.609636527711174</c:v>
                </c:pt>
                <c:pt idx="66">
                  <c:v>79.926485708994051</c:v>
                </c:pt>
                <c:pt idx="67">
                  <c:v>78.215553838550576</c:v>
                </c:pt>
                <c:pt idx="68">
                  <c:v>76.487357001967936</c:v>
                </c:pt>
                <c:pt idx="69">
                  <c:v>74.749778636268999</c:v>
                </c:pt>
                <c:pt idx="70">
                  <c:v>73.008658216861079</c:v>
                </c:pt>
                <c:pt idx="71">
                  <c:v>71.268266945451359</c:v>
                </c:pt>
                <c:pt idx="72">
                  <c:v>69.531683537014644</c:v>
                </c:pt>
                <c:pt idx="73">
                  <c:v>52.625272244115948</c:v>
                </c:pt>
                <c:pt idx="74">
                  <c:v>36.598690524307813</c:v>
                </c:pt>
                <c:pt idx="75">
                  <c:v>21.295578940460572</c:v>
                </c:pt>
                <c:pt idx="76">
                  <c:v>6.6794750622293577</c:v>
                </c:pt>
                <c:pt idx="77">
                  <c:v>-7.1722708529944583</c:v>
                </c:pt>
                <c:pt idx="78">
                  <c:v>-20.138185629171048</c:v>
                </c:pt>
                <c:pt idx="79">
                  <c:v>-32.109965641944584</c:v>
                </c:pt>
                <c:pt idx="80">
                  <c:v>-43.02693436616795</c:v>
                </c:pt>
                <c:pt idx="81">
                  <c:v>-52.885516162817424</c:v>
                </c:pt>
                <c:pt idx="82">
                  <c:v>-61.730434980832158</c:v>
                </c:pt>
                <c:pt idx="83">
                  <c:v>-69.638127266271567</c:v>
                </c:pt>
                <c:pt idx="84">
                  <c:v>-76.700512792436768</c:v>
                </c:pt>
                <c:pt idx="85">
                  <c:v>-83.012875944172009</c:v>
                </c:pt>
                <c:pt idx="86">
                  <c:v>271.33364309521914</c:v>
                </c:pt>
                <c:pt idx="87">
                  <c:v>266.25590831160883</c:v>
                </c:pt>
                <c:pt idx="88">
                  <c:v>261.68023433861083</c:v>
                </c:pt>
                <c:pt idx="89">
                  <c:v>257.54243091578462</c:v>
                </c:pt>
                <c:pt idx="90">
                  <c:v>253.78713256279059</c:v>
                </c:pt>
              </c:numCache>
            </c:numRef>
          </c:yVal>
          <c:smooth val="1"/>
          <c:extLst>
            <c:ext xmlns:c16="http://schemas.microsoft.com/office/drawing/2014/chart" uri="{C3380CC4-5D6E-409C-BE32-E72D297353CC}">
              <c16:uniqueId val="{00000002-BD53-4F2F-A775-01768EB85E4E}"/>
            </c:ext>
          </c:extLst>
        </c:ser>
        <c:ser>
          <c:idx val="3"/>
          <c:order val="3"/>
          <c:spPr>
            <a:ln w="12700">
              <a:solidFill>
                <a:srgbClr val="FFCC99"/>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'LM(2)5117'!$AC$82:$AC$172</c:f>
              <c:numCache>
                <c:formatCode>0.0</c:formatCode>
                <c:ptCount val="91"/>
                <c:pt idx="0">
                  <c:v>91.928531083272603</c:v>
                </c:pt>
                <c:pt idx="1">
                  <c:v>92.814681645523663</c:v>
                </c:pt>
                <c:pt idx="2">
                  <c:v>93.616289998346161</c:v>
                </c:pt>
                <c:pt idx="3">
                  <c:v>94.318398176616668</c:v>
                </c:pt>
                <c:pt idx="4">
                  <c:v>94.91394729736723</c:v>
                </c:pt>
                <c:pt idx="5">
                  <c:v>95.402790717970561</c:v>
                </c:pt>
                <c:pt idx="6">
                  <c:v>95.790095049036125</c:v>
                </c:pt>
                <c:pt idx="7">
                  <c:v>96.084579973255003</c:v>
                </c:pt>
                <c:pt idx="8">
                  <c:v>96.296918753593786</c:v>
                </c:pt>
                <c:pt idx="9">
                  <c:v>96.438466488265377</c:v>
                </c:pt>
                <c:pt idx="10">
                  <c:v>96.520357913513337</c:v>
                </c:pt>
                <c:pt idx="11">
                  <c:v>96.552939385362379</c:v>
                </c:pt>
                <c:pt idx="12">
                  <c:v>96.545465354025538</c:v>
                </c:pt>
                <c:pt idx="13">
                  <c:v>96.505984061023113</c:v>
                </c:pt>
                <c:pt idx="14">
                  <c:v>96.441346663841102</c:v>
                </c:pt>
                <c:pt idx="15">
                  <c:v>96.357288876499553</c:v>
                </c:pt>
                <c:pt idx="16">
                  <c:v>96.258549044270126</c:v>
                </c:pt>
                <c:pt idx="17">
                  <c:v>96.148998935723938</c:v>
                </c:pt>
                <c:pt idx="18">
                  <c:v>96.031772826044204</c:v>
                </c:pt>
                <c:pt idx="19">
                  <c:v>94.798215139070891</c:v>
                </c:pt>
                <c:pt idx="20">
                  <c:v>93.808722322372972</c:v>
                </c:pt>
                <c:pt idx="21">
                  <c:v>93.08216115351118</c:v>
                </c:pt>
                <c:pt idx="22">
                  <c:v>92.538277909377769</c:v>
                </c:pt>
                <c:pt idx="23">
                  <c:v>92.116904893038878</c:v>
                </c:pt>
                <c:pt idx="24">
                  <c:v>91.779428169614363</c:v>
                </c:pt>
                <c:pt idx="25">
                  <c:v>91.501189747095381</c:v>
                </c:pt>
                <c:pt idx="26">
                  <c:v>91.266049686703852</c:v>
                </c:pt>
                <c:pt idx="27">
                  <c:v>91.063118898251432</c:v>
                </c:pt>
                <c:pt idx="28">
                  <c:v>90.884831701423707</c:v>
                </c:pt>
                <c:pt idx="29">
                  <c:v>90.725788789055841</c:v>
                </c:pt>
                <c:pt idx="30">
                  <c:v>90.582043727085704</c:v>
                </c:pt>
                <c:pt idx="31">
                  <c:v>90.450650270928904</c:v>
                </c:pt>
                <c:pt idx="32">
                  <c:v>90.329367205943555</c:v>
                </c:pt>
                <c:pt idx="33">
                  <c:v>90.21646096535369</c:v>
                </c:pt>
                <c:pt idx="34">
                  <c:v>90.110570549670015</c:v>
                </c:pt>
                <c:pt idx="35">
                  <c:v>90.010613122563527</c:v>
                </c:pt>
                <c:pt idx="36">
                  <c:v>89.915716766594386</c:v>
                </c:pt>
                <c:pt idx="37">
                  <c:v>89.135119922326567</c:v>
                </c:pt>
                <c:pt idx="38">
                  <c:v>88.501234912538791</c:v>
                </c:pt>
                <c:pt idx="39">
                  <c:v>87.926612862104818</c:v>
                </c:pt>
                <c:pt idx="40">
                  <c:v>87.381882306262582</c:v>
                </c:pt>
                <c:pt idx="41">
                  <c:v>86.854439988956628</c:v>
                </c:pt>
                <c:pt idx="42">
                  <c:v>86.337999962253079</c:v>
                </c:pt>
                <c:pt idx="43">
                  <c:v>85.829090922736597</c:v>
                </c:pt>
                <c:pt idx="44">
                  <c:v>85.3256508791426</c:v>
                </c:pt>
                <c:pt idx="45">
                  <c:v>84.826387141898792</c:v>
                </c:pt>
                <c:pt idx="46">
                  <c:v>84.330455895905061</c:v>
                </c:pt>
                <c:pt idx="47">
                  <c:v>83.837289492083556</c:v>
                </c:pt>
                <c:pt idx="48">
                  <c:v>83.346497676511689</c:v>
                </c:pt>
                <c:pt idx="49">
                  <c:v>82.857808284061321</c:v>
                </c:pt>
                <c:pt idx="50">
                  <c:v>82.371030144435366</c:v>
                </c:pt>
                <c:pt idx="51">
                  <c:v>81.886029060828164</c:v>
                </c:pt>
                <c:pt idx="52">
                  <c:v>81.402711780820084</c:v>
                </c:pt>
                <c:pt idx="53">
                  <c:v>80.921015016967701</c:v>
                </c:pt>
                <c:pt idx="54">
                  <c:v>80.440897750962577</c:v>
                </c:pt>
                <c:pt idx="55">
                  <c:v>75.725764288803447</c:v>
                </c:pt>
                <c:pt idx="56">
                  <c:v>71.180941686720971</c:v>
                </c:pt>
                <c:pt idx="57">
                  <c:v>66.832875181045011</c:v>
                </c:pt>
                <c:pt idx="58">
                  <c:v>62.70323967231019</c:v>
                </c:pt>
                <c:pt idx="59">
                  <c:v>58.805124105034267</c:v>
                </c:pt>
                <c:pt idx="60">
                  <c:v>55.143265348778442</c:v>
                </c:pt>
                <c:pt idx="61">
                  <c:v>51.715436646301015</c:v>
                </c:pt>
                <c:pt idx="62">
                  <c:v>48.514143072888857</c:v>
                </c:pt>
                <c:pt idx="63">
                  <c:v>45.528250701886975</c:v>
                </c:pt>
                <c:pt idx="64">
                  <c:v>42.744379160115599</c:v>
                </c:pt>
                <c:pt idx="65">
                  <c:v>40.148001377445624</c:v>
                </c:pt>
                <c:pt idx="66">
                  <c:v>37.724258407986213</c:v>
                </c:pt>
                <c:pt idx="67">
                  <c:v>35.45852824027574</c:v>
                </c:pt>
                <c:pt idx="68">
                  <c:v>33.336797805253497</c:v>
                </c:pt>
                <c:pt idx="69">
                  <c:v>31.345886118764156</c:v>
                </c:pt>
                <c:pt idx="70">
                  <c:v>29.473559870358514</c:v>
                </c:pt>
                <c:pt idx="71">
                  <c:v>27.708574519222296</c:v>
                </c:pt>
                <c:pt idx="72">
                  <c:v>26.040666035061946</c:v>
                </c:pt>
                <c:pt idx="73">
                  <c:v>13.034490008709028</c:v>
                </c:pt>
                <c:pt idx="74">
                  <c:v>3.5448200138417576</c:v>
                </c:pt>
                <c:pt idx="75">
                  <c:v>-4.6013549407683882</c:v>
                </c:pt>
                <c:pt idx="76">
                  <c:v>-12.188995987569058</c:v>
                </c:pt>
                <c:pt idx="77">
                  <c:v>-19.447259644114425</c:v>
                </c:pt>
                <c:pt idx="78">
                  <c:v>-26.371561815966771</c:v>
                </c:pt>
                <c:pt idx="79">
                  <c:v>-32.879965677175122</c:v>
                </c:pt>
                <c:pt idx="80">
                  <c:v>-38.893764682286445</c:v>
                </c:pt>
                <c:pt idx="81">
                  <c:v>-44.370591297803458</c:v>
                </c:pt>
                <c:pt idx="82">
                  <c:v>-49.308222888127816</c:v>
                </c:pt>
                <c:pt idx="83">
                  <c:v>-53.734718191996819</c:v>
                </c:pt>
                <c:pt idx="84">
                  <c:v>-57.695644193435186</c:v>
                </c:pt>
                <c:pt idx="85">
                  <c:v>-61.243578638925811</c:v>
                </c:pt>
                <c:pt idx="86">
                  <c:v>-64.431201776686578</c:v>
                </c:pt>
                <c:pt idx="87">
                  <c:v>-67.307485320580724</c:v>
                </c:pt>
                <c:pt idx="88">
                  <c:v>-69.916013413204126</c:v>
                </c:pt>
                <c:pt idx="89">
                  <c:v>-72.294577971727392</c:v>
                </c:pt>
                <c:pt idx="90">
                  <c:v>-74.475446865345774</c:v>
                </c:pt>
              </c:numCache>
            </c:numRef>
          </c:yVal>
          <c:smooth val="1"/>
          <c:extLst>
            <c:ext xmlns:c16="http://schemas.microsoft.com/office/drawing/2014/chart" uri="{C3380CC4-5D6E-409C-BE32-E72D297353CC}">
              <c16:uniqueId val="{00000003-BD53-4F2F-A775-01768EB85E4E}"/>
            </c:ext>
          </c:extLst>
        </c:ser>
        <c:dLbls>
          <c:showLegendKey val="0"/>
          <c:showVal val="0"/>
          <c:showCatName val="0"/>
          <c:showSerName val="0"/>
          <c:showPercent val="0"/>
          <c:showBubbleSize val="0"/>
        </c:dLbls>
        <c:axId val="3"/>
        <c:axId val="4"/>
      </c:scatterChart>
      <c:valAx>
        <c:axId val="1771247056"/>
        <c:scaling>
          <c:logBase val="10"/>
          <c:orientation val="minMax"/>
          <c:min val="10"/>
        </c:scaling>
        <c:delete val="0"/>
        <c:axPos val="b"/>
        <c:majorGridlines>
          <c:spPr>
            <a:ln w="3175">
              <a:solidFill>
                <a:srgbClr val="000000"/>
              </a:solidFill>
              <a:prstDash val="solid"/>
            </a:ln>
          </c:spPr>
        </c:majorGridlines>
        <c:minorGridlines>
          <c:spPr>
            <a:ln w="3175">
              <a:solidFill>
                <a:srgbClr val="000000"/>
              </a:solidFill>
              <a:prstDash val="solid"/>
            </a:ln>
          </c:spPr>
        </c:minorGridlines>
        <c:title>
          <c:tx>
            <c:rich>
              <a:bodyPr/>
              <a:lstStyle/>
              <a:p>
                <a:pPr>
                  <a:defRPr sz="1000" b="1" i="0" u="none" strike="noStrike" baseline="0">
                    <a:solidFill>
                      <a:srgbClr val="000000"/>
                    </a:solidFill>
                    <a:latin typeface="Arial"/>
                    <a:ea typeface="Arial"/>
                    <a:cs typeface="Arial"/>
                  </a:defRPr>
                </a:pPr>
                <a:r>
                  <a:rPr lang="en-US"/>
                  <a:t>Frequency(Hz)</a:t>
                </a:r>
              </a:p>
            </c:rich>
          </c:tx>
          <c:layout>
            <c:manualLayout>
              <c:xMode val="edge"/>
              <c:yMode val="edge"/>
              <c:x val="0.39287846728410047"/>
              <c:y val="0.8943217258270523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Arial"/>
                <a:ea typeface="Arial"/>
                <a:cs typeface="Arial"/>
              </a:defRPr>
            </a:pPr>
            <a:endParaRPr lang="en-US"/>
          </a:p>
        </c:txPr>
        <c:crossAx val="1"/>
        <c:crossesAt val="-60"/>
        <c:crossBetween val="midCat"/>
        <c:majorUnit val="10"/>
        <c:minorUnit val="10"/>
      </c:valAx>
      <c:valAx>
        <c:axId val="1"/>
        <c:scaling>
          <c:orientation val="minMax"/>
          <c:max val="100"/>
          <c:min val="-20"/>
        </c:scaling>
        <c:delete val="0"/>
        <c:axPos val="l"/>
        <c:majorGridlines>
          <c:spPr>
            <a:ln w="3175">
              <a:solidFill>
                <a:srgbClr val="000000"/>
              </a:solidFill>
              <a:prstDash val="solid"/>
            </a:ln>
          </c:spPr>
        </c:majorGridlines>
        <c:title>
          <c:tx>
            <c:rich>
              <a:bodyPr/>
              <a:lstStyle/>
              <a:p>
                <a:pPr>
                  <a:defRPr sz="1000" b="1" i="0" u="none" strike="noStrike" baseline="0">
                    <a:solidFill>
                      <a:srgbClr val="0000FF"/>
                    </a:solidFill>
                    <a:latin typeface="Arial"/>
                    <a:ea typeface="Arial"/>
                    <a:cs typeface="Arial"/>
                  </a:defRPr>
                </a:pPr>
                <a:r>
                  <a:rPr lang="en-US"/>
                  <a:t>Gain (dB)</a:t>
                </a:r>
              </a:p>
            </c:rich>
          </c:tx>
          <c:layout>
            <c:manualLayout>
              <c:xMode val="edge"/>
              <c:yMode val="edge"/>
              <c:x val="2.4691572143790395E-2"/>
              <c:y val="0.43266523502743975"/>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1247056"/>
        <c:crossesAt val="1"/>
        <c:crossBetween val="midCat"/>
        <c:majorUnit val="20"/>
        <c:minorUnit val="4"/>
      </c:valAx>
      <c:valAx>
        <c:axId val="3"/>
        <c:scaling>
          <c:logBase val="10"/>
          <c:orientation val="minMax"/>
        </c:scaling>
        <c:delete val="1"/>
        <c:axPos val="b"/>
        <c:numFmt formatCode="General" sourceLinked="1"/>
        <c:majorTickMark val="out"/>
        <c:minorTickMark val="none"/>
        <c:tickLblPos val="nextTo"/>
        <c:crossAx val="4"/>
        <c:crosses val="autoZero"/>
        <c:crossBetween val="midCat"/>
      </c:valAx>
      <c:valAx>
        <c:axId val="4"/>
        <c:scaling>
          <c:orientation val="minMax"/>
          <c:max val="150"/>
          <c:min val="-30"/>
        </c:scaling>
        <c:delete val="0"/>
        <c:axPos val="r"/>
        <c:title>
          <c:tx>
            <c:rich>
              <a:bodyPr/>
              <a:lstStyle/>
              <a:p>
                <a:pPr>
                  <a:defRPr sz="1000" b="1" i="0" u="none" strike="noStrike" baseline="0">
                    <a:solidFill>
                      <a:srgbClr val="FF0000"/>
                    </a:solidFill>
                    <a:latin typeface="Arial"/>
                    <a:ea typeface="Arial"/>
                    <a:cs typeface="Arial"/>
                  </a:defRPr>
                </a:pPr>
                <a:r>
                  <a:rPr lang="en-US"/>
                  <a:t>Phase (deg)</a:t>
                </a:r>
              </a:p>
            </c:rich>
          </c:tx>
          <c:layout>
            <c:manualLayout>
              <c:xMode val="edge"/>
              <c:yMode val="edge"/>
              <c:x val="0.93474579994681273"/>
              <c:y val="0.4068772018470953"/>
            </c:manualLayout>
          </c:layout>
          <c:overlay val="0"/>
          <c:spPr>
            <a:noFill/>
            <a:ln w="25400">
              <a:noFill/>
            </a:ln>
          </c:sp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3"/>
        <c:crosses val="max"/>
        <c:crossBetween val="midCat"/>
        <c:majorUnit val="30"/>
      </c:valAx>
      <c:spPr>
        <a:solidFill>
          <a:srgbClr val="FFFFFF"/>
        </a:solidFill>
        <a:ln w="3175">
          <a:solidFill>
            <a:srgbClr val="00000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US"/>
              <a:t>Modulator Gain/Phase</a:t>
            </a:r>
          </a:p>
        </c:rich>
      </c:tx>
      <c:layout>
        <c:manualLayout>
          <c:xMode val="edge"/>
          <c:yMode val="edge"/>
          <c:x val="0.37213442884856784"/>
          <c:y val="3.4383892802873323E-2"/>
        </c:manualLayout>
      </c:layout>
      <c:overlay val="0"/>
      <c:spPr>
        <a:noFill/>
        <a:ln w="25400">
          <a:noFill/>
        </a:ln>
      </c:spPr>
    </c:title>
    <c:autoTitleDeleted val="0"/>
    <c:plotArea>
      <c:layout>
        <c:manualLayout>
          <c:layoutTarget val="inner"/>
          <c:xMode val="edge"/>
          <c:yMode val="edge"/>
          <c:x val="0.17258933521709177"/>
          <c:y val="0.21156509218359804"/>
          <c:w val="0.59963730569015161"/>
          <c:h val="0.60214680083024041"/>
        </c:manualLayout>
      </c:layout>
      <c:scatterChart>
        <c:scatterStyle val="smoothMarker"/>
        <c:varyColors val="0"/>
        <c:ser>
          <c:idx val="0"/>
          <c:order val="0"/>
          <c:tx>
            <c:v>Gain</c:v>
          </c:tx>
          <c:spPr>
            <a:ln w="25400">
              <a:solidFill>
                <a:srgbClr val="0000FF"/>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'LM(2)5117'!$T$82:$T$172</c:f>
              <c:numCache>
                <c:formatCode>0.0</c:formatCode>
                <c:ptCount val="91"/>
                <c:pt idx="0">
                  <c:v>32.555483111092443</c:v>
                </c:pt>
                <c:pt idx="1">
                  <c:v>32.462273100110856</c:v>
                </c:pt>
                <c:pt idx="2">
                  <c:v>32.335051241353348</c:v>
                </c:pt>
                <c:pt idx="3">
                  <c:v>32.176772505289854</c:v>
                </c:pt>
                <c:pt idx="4">
                  <c:v>31.990840999922874</c:v>
                </c:pt>
                <c:pt idx="5">
                  <c:v>31.780898346632931</c:v>
                </c:pt>
                <c:pt idx="6">
                  <c:v>31.550632559392881</c:v>
                </c:pt>
                <c:pt idx="7">
                  <c:v>31.303622065039988</c:v>
                </c:pt>
                <c:pt idx="8">
                  <c:v>31.043220990633351</c:v>
                </c:pt>
                <c:pt idx="9">
                  <c:v>30.772484931532155</c:v>
                </c:pt>
                <c:pt idx="10">
                  <c:v>30.494131926089914</c:v>
                </c:pt>
                <c:pt idx="11">
                  <c:v>30.210531234349798</c:v>
                </c:pt>
                <c:pt idx="12">
                  <c:v>29.92371219183223</c:v>
                </c:pt>
                <c:pt idx="13">
                  <c:v>29.63538619882123</c:v>
                </c:pt>
                <c:pt idx="14">
                  <c:v>29.34697621681455</c:v>
                </c:pt>
                <c:pt idx="15">
                  <c:v>29.059649562205941</c:v>
                </c:pt>
                <c:pt idx="16">
                  <c:v>28.774351074122304</c:v>
                </c:pt>
                <c:pt idx="17">
                  <c:v>28.491834783872775</c:v>
                </c:pt>
                <c:pt idx="18">
                  <c:v>28.212693007978423</c:v>
                </c:pt>
                <c:pt idx="19">
                  <c:v>25.664541073154542</c:v>
                </c:pt>
                <c:pt idx="20">
                  <c:v>23.565659479727493</c:v>
                </c:pt>
                <c:pt idx="21">
                  <c:v>21.825834593105636</c:v>
                </c:pt>
                <c:pt idx="22">
                  <c:v>20.353926370033619</c:v>
                </c:pt>
                <c:pt idx="23">
                  <c:v>19.083804312581591</c:v>
                </c:pt>
                <c:pt idx="24">
                  <c:v>17.969256796468265</c:v>
                </c:pt>
                <c:pt idx="25">
                  <c:v>16.977572352561566</c:v>
                </c:pt>
                <c:pt idx="26">
                  <c:v>16.085038340521962</c:v>
                </c:pt>
                <c:pt idx="27">
                  <c:v>15.274034747139032</c:v>
                </c:pt>
                <c:pt idx="28">
                  <c:v>14.531164801416088</c:v>
                </c:pt>
                <c:pt idx="29">
                  <c:v>13.846031475446722</c:v>
                </c:pt>
                <c:pt idx="30">
                  <c:v>13.210418041535558</c:v>
                </c:pt>
                <c:pt idx="31">
                  <c:v>12.617726086201897</c:v>
                </c:pt>
                <c:pt idx="32">
                  <c:v>12.062581295699285</c:v>
                </c:pt>
                <c:pt idx="33">
                  <c:v>11.540551100189724</c:v>
                </c:pt>
                <c:pt idx="34">
                  <c:v>11.047938550094944</c:v>
                </c:pt>
                <c:pt idx="35">
                  <c:v>10.581629218146293</c:v>
                </c:pt>
                <c:pt idx="36">
                  <c:v>10.138975687095837</c:v>
                </c:pt>
                <c:pt idx="37">
                  <c:v>6.6337502957294747</c:v>
                </c:pt>
                <c:pt idx="38">
                  <c:v>4.1439365878817238</c:v>
                </c:pt>
                <c:pt idx="39">
                  <c:v>2.2133268275354765</c:v>
                </c:pt>
                <c:pt idx="40">
                  <c:v>0.63746949702667766</c:v>
                </c:pt>
                <c:pt idx="41">
                  <c:v>-0.69299463291693475</c:v>
                </c:pt>
                <c:pt idx="42">
                  <c:v>-1.843441735261329</c:v>
                </c:pt>
                <c:pt idx="43">
                  <c:v>-2.8560812164929406</c:v>
                </c:pt>
                <c:pt idx="44">
                  <c:v>-3.7597532309401061</c:v>
                </c:pt>
                <c:pt idx="45">
                  <c:v>-4.5750397530273981</c:v>
                </c:pt>
                <c:pt idx="46">
                  <c:v>-5.3171453949327629</c:v>
                </c:pt>
                <c:pt idx="47">
                  <c:v>-5.997622452600833</c:v>
                </c:pt>
                <c:pt idx="48">
                  <c:v>-6.6254554382066164</c:v>
                </c:pt>
                <c:pt idx="49">
                  <c:v>-7.2077708294237368</c:v>
                </c:pt>
                <c:pt idx="50">
                  <c:v>-7.7503174366679284</c:v>
                </c:pt>
                <c:pt idx="51">
                  <c:v>-8.2578009612771872</c:v>
                </c:pt>
                <c:pt idx="52">
                  <c:v>-8.7341228208879134</c:v>
                </c:pt>
                <c:pt idx="53">
                  <c:v>-9.1825543368165423</c:v>
                </c:pt>
                <c:pt idx="54">
                  <c:v>-9.6058661984446569</c:v>
                </c:pt>
                <c:pt idx="55">
                  <c:v>-12.852900284842843</c:v>
                </c:pt>
                <c:pt idx="56">
                  <c:v>-14.994760725576462</c:v>
                </c:pt>
                <c:pt idx="57">
                  <c:v>-16.514351278932949</c:v>
                </c:pt>
                <c:pt idx="58">
                  <c:v>-17.637052738573264</c:v>
                </c:pt>
                <c:pt idx="59">
                  <c:v>-18.489355324747422</c:v>
                </c:pt>
                <c:pt idx="60">
                  <c:v>-19.150068749778004</c:v>
                </c:pt>
                <c:pt idx="61">
                  <c:v>-19.671448714404281</c:v>
                </c:pt>
                <c:pt idx="62">
                  <c:v>-20.089531219289182</c:v>
                </c:pt>
                <c:pt idx="63">
                  <c:v>-20.42984234864138</c:v>
                </c:pt>
                <c:pt idx="64">
                  <c:v>-20.710829804557974</c:v>
                </c:pt>
                <c:pt idx="65">
                  <c:v>-20.946044825144131</c:v>
                </c:pt>
                <c:pt idx="66">
                  <c:v>-21.145583145263185</c:v>
                </c:pt>
                <c:pt idx="67">
                  <c:v>-21.317062229338951</c:v>
                </c:pt>
                <c:pt idx="68">
                  <c:v>-21.466297311181695</c:v>
                </c:pt>
                <c:pt idx="69">
                  <c:v>-21.597776602850139</c:v>
                </c:pt>
                <c:pt idx="70">
                  <c:v>-21.714999930253278</c:v>
                </c:pt>
                <c:pt idx="71">
                  <c:v>-21.820723015930447</c:v>
                </c:pt>
                <c:pt idx="72">
                  <c:v>-21.91713569484439</c:v>
                </c:pt>
                <c:pt idx="73">
                  <c:v>-22.633693769689735</c:v>
                </c:pt>
                <c:pt idx="74">
                  <c:v>-23.254716312545924</c:v>
                </c:pt>
                <c:pt idx="75">
                  <c:v>-23.953809181152231</c:v>
                </c:pt>
                <c:pt idx="76">
                  <c:v>-24.779387094254485</c:v>
                </c:pt>
                <c:pt idx="77">
                  <c:v>-25.742929634673295</c:v>
                </c:pt>
                <c:pt idx="78">
                  <c:v>-26.836307386535722</c:v>
                </c:pt>
                <c:pt idx="79">
                  <c:v>-28.038540590860791</c:v>
                </c:pt>
                <c:pt idx="80">
                  <c:v>-29.321772347830958</c:v>
                </c:pt>
                <c:pt idx="81">
                  <c:v>-30.656880932181977</c:v>
                </c:pt>
                <c:pt idx="82">
                  <c:v>-32.01756198598784</c:v>
                </c:pt>
                <c:pt idx="83">
                  <c:v>-33.3823968790309</c:v>
                </c:pt>
                <c:pt idx="84">
                  <c:v>-34.735276956219316</c:v>
                </c:pt>
                <c:pt idx="85">
                  <c:v>-36.06486883293352</c:v>
                </c:pt>
                <c:pt idx="86">
                  <c:v>-37.363701942321555</c:v>
                </c:pt>
                <c:pt idx="87">
                  <c:v>-38.627228287846222</c:v>
                </c:pt>
                <c:pt idx="88">
                  <c:v>-39.853012129916287</c:v>
                </c:pt>
                <c:pt idx="89">
                  <c:v>-41.040092658979297</c:v>
                </c:pt>
                <c:pt idx="90">
                  <c:v>-42.188508768967914</c:v>
                </c:pt>
              </c:numCache>
            </c:numRef>
          </c:yVal>
          <c:smooth val="1"/>
          <c:extLst>
            <c:ext xmlns:c16="http://schemas.microsoft.com/office/drawing/2014/chart" uri="{C3380CC4-5D6E-409C-BE32-E72D297353CC}">
              <c16:uniqueId val="{00000000-A3DF-4E76-BD91-FF52CBCD9521}"/>
            </c:ext>
          </c:extLst>
        </c:ser>
        <c:ser>
          <c:idx val="2"/>
          <c:order val="2"/>
          <c:spPr>
            <a:ln w="12700">
              <a:solidFill>
                <a:srgbClr val="00FFFF"/>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'LM(2)5117'!$Z$82:$Z$172</c:f>
              <c:numCache>
                <c:formatCode>0.0</c:formatCode>
                <c:ptCount val="91"/>
                <c:pt idx="0">
                  <c:v>32.55564852436153</c:v>
                </c:pt>
                <c:pt idx="1">
                  <c:v>32.462637374162199</c:v>
                </c:pt>
                <c:pt idx="2">
                  <c:v>32.335680135795755</c:v>
                </c:pt>
                <c:pt idx="3">
                  <c:v>32.177719966439838</c:v>
                </c:pt>
                <c:pt idx="4">
                  <c:v>31.992148130215025</c:v>
                </c:pt>
                <c:pt idx="5">
                  <c:v>31.78259347388159</c:v>
                </c:pt>
                <c:pt idx="6">
                  <c:v>31.552732171768156</c:v>
                </c:pt>
                <c:pt idx="7">
                  <c:v>31.306132318049883</c:v>
                </c:pt>
                <c:pt idx="8">
                  <c:v>31.046139500677477</c:v>
                </c:pt>
                <c:pt idx="9">
                  <c:v>30.775802622169948</c:v>
                </c:pt>
                <c:pt idx="10">
                  <c:v>30.497834762260936</c:v>
                </c:pt>
                <c:pt idx="11">
                  <c:v>30.214601747051436</c:v>
                </c:pt>
                <c:pt idx="12">
                  <c:v>29.928130750483032</c:v>
                </c:pt>
                <c:pt idx="13">
                  <c:v>29.640132027241691</c:v>
                </c:pt>
                <c:pt idx="14">
                  <c:v>29.3520281725391</c:v>
                </c:pt>
                <c:pt idx="15">
                  <c:v>29.064986710889396</c:v>
                </c:pt>
                <c:pt idx="16">
                  <c:v>28.779953094722707</c:v>
                </c:pt>
                <c:pt idx="17">
                  <c:v>28.497682239210548</c:v>
                </c:pt>
                <c:pt idx="18">
                  <c:v>28.218767511541969</c:v>
                </c:pt>
                <c:pt idx="19">
                  <c:v>25.672119707654467</c:v>
                </c:pt>
                <c:pt idx="20">
                  <c:v>23.573933194936899</c:v>
                </c:pt>
                <c:pt idx="21">
                  <c:v>21.834446139443841</c:v>
                </c:pt>
                <c:pt idx="22">
                  <c:v>20.362700785284819</c:v>
                </c:pt>
                <c:pt idx="23">
                  <c:v>19.092644862530641</c:v>
                </c:pt>
                <c:pt idx="24">
                  <c:v>17.978103672372335</c:v>
                </c:pt>
                <c:pt idx="25">
                  <c:v>16.986384741257769</c:v>
                </c:pt>
                <c:pt idx="26">
                  <c:v>16.093785929161609</c:v>
                </c:pt>
                <c:pt idx="27">
                  <c:v>15.282693382449784</c:v>
                </c:pt>
                <c:pt idx="28">
                  <c:v>14.539714126218044</c:v>
                </c:pt>
                <c:pt idx="29">
                  <c:v>13.854453571058066</c:v>
                </c:pt>
                <c:pt idx="30">
                  <c:v>13.218696611811998</c:v>
                </c:pt>
                <c:pt idx="31">
                  <c:v>12.625845947746576</c:v>
                </c:pt>
                <c:pt idx="32">
                  <c:v>12.070528048535053</c:v>
                </c:pt>
                <c:pt idx="33">
                  <c:v>11.548310908736655</c:v>
                </c:pt>
                <c:pt idx="34">
                  <c:v>11.05549799374624</c:v>
                </c:pt>
                <c:pt idx="35">
                  <c:v>10.588975187004745</c:v>
                </c:pt>
                <c:pt idx="36">
                  <c:v>10.146095307753608</c:v>
                </c:pt>
                <c:pt idx="37">
                  <c:v>6.6379248741128762</c:v>
                </c:pt>
                <c:pt idx="38">
                  <c:v>4.1439603574677744</c:v>
                </c:pt>
                <c:pt idx="39">
                  <c:v>2.2080112782656132</c:v>
                </c:pt>
                <c:pt idx="40">
                  <c:v>0.62563404698293679</c:v>
                </c:pt>
                <c:pt idx="41">
                  <c:v>-0.71252389530577576</c:v>
                </c:pt>
                <c:pt idx="42">
                  <c:v>-1.8718317680761065</c:v>
                </c:pt>
                <c:pt idx="43">
                  <c:v>-2.8944913334457221</c:v>
                </c:pt>
                <c:pt idx="44">
                  <c:v>-3.8093342858101282</c:v>
                </c:pt>
                <c:pt idx="45">
                  <c:v>-4.636933289126123</c:v>
                </c:pt>
                <c:pt idx="46">
                  <c:v>-5.392482793714052</c:v>
                </c:pt>
                <c:pt idx="47">
                  <c:v>-6.0875240966099771</c:v>
                </c:pt>
                <c:pt idx="48">
                  <c:v>-6.7310298962133679</c:v>
                </c:pt>
                <c:pt idx="49">
                  <c:v>-7.3301140683929695</c:v>
                </c:pt>
                <c:pt idx="50">
                  <c:v>-7.8905120636647386</c:v>
                </c:pt>
                <c:pt idx="51">
                  <c:v>-8.4169154975671034</c:v>
                </c:pt>
                <c:pt idx="52">
                  <c:v>-8.9132110099700661</c:v>
                </c:pt>
                <c:pt idx="53">
                  <c:v>-9.3826544877730331</c:v>
                </c:pt>
                <c:pt idx="54">
                  <c:v>-9.8280005657072564</c:v>
                </c:pt>
                <c:pt idx="55">
                  <c:v>-13.3477013454239</c:v>
                </c:pt>
                <c:pt idx="56">
                  <c:v>-15.843652447452017</c:v>
                </c:pt>
                <c:pt idx="57">
                  <c:v>-17.778273370729295</c:v>
                </c:pt>
                <c:pt idx="58">
                  <c:v>-19.357556319171099</c:v>
                </c:pt>
                <c:pt idx="59">
                  <c:v>-20.691392724327606</c:v>
                </c:pt>
                <c:pt idx="60">
                  <c:v>-21.84538506365255</c:v>
                </c:pt>
                <c:pt idx="61">
                  <c:v>-22.861854909360176</c:v>
                </c:pt>
                <c:pt idx="62">
                  <c:v>-23.769705639528212</c:v>
                </c:pt>
                <c:pt idx="63">
                  <c:v>-24.589559328144635</c:v>
                </c:pt>
                <c:pt idx="64">
                  <c:v>-25.33664900695981</c:v>
                </c:pt>
                <c:pt idx="65">
                  <c:v>-26.022549244537405</c:v>
                </c:pt>
                <c:pt idx="66">
                  <c:v>-26.656263543643426</c:v>
                </c:pt>
                <c:pt idx="67">
                  <c:v>-27.244935657308652</c:v>
                </c:pt>
                <c:pt idx="68">
                  <c:v>-27.794330850827308</c:v>
                </c:pt>
                <c:pt idx="69">
                  <c:v>-28.309170988006059</c:v>
                </c:pt>
                <c:pt idx="70">
                  <c:v>-28.793373675209608</c:v>
                </c:pt>
                <c:pt idx="71">
                  <c:v>-29.250226642913866</c:v>
                </c:pt>
                <c:pt idx="72">
                  <c:v>-29.682517327470407</c:v>
                </c:pt>
                <c:pt idx="73">
                  <c:v>-33.053987100460859</c:v>
                </c:pt>
                <c:pt idx="74">
                  <c:v>-35.39733060104836</c:v>
                </c:pt>
                <c:pt idx="75">
                  <c:v>-37.216086664197846</c:v>
                </c:pt>
                <c:pt idx="76">
                  <c:v>-38.75240629882704</c:v>
                </c:pt>
                <c:pt idx="77">
                  <c:v>-40.140333435202209</c:v>
                </c:pt>
                <c:pt idx="78">
                  <c:v>-41.454100814698087</c:v>
                </c:pt>
                <c:pt idx="79">
                  <c:v>-42.730179760801299</c:v>
                </c:pt>
                <c:pt idx="80">
                  <c:v>-43.981680188528003</c:v>
                </c:pt>
                <c:pt idx="81">
                  <c:v>-45.209086847928191</c:v>
                </c:pt>
                <c:pt idx="82">
                  <c:v>-46.407681148936518</c:v>
                </c:pt>
                <c:pt idx="83">
                  <c:v>-47.571882588797784</c:v>
                </c:pt>
                <c:pt idx="84">
                  <c:v>-48.697260470624222</c:v>
                </c:pt>
                <c:pt idx="85">
                  <c:v>-49.781125302771386</c:v>
                </c:pt>
                <c:pt idx="86">
                  <c:v>-50.82242344670091</c:v>
                </c:pt>
                <c:pt idx="87">
                  <c:v>-51.821379818220699</c:v>
                </c:pt>
                <c:pt idx="88">
                  <c:v>-52.779111384762906</c:v>
                </c:pt>
                <c:pt idx="89">
                  <c:v>-53.697299814611029</c:v>
                </c:pt>
                <c:pt idx="90">
                  <c:v>-54.577944284771306</c:v>
                </c:pt>
              </c:numCache>
            </c:numRef>
          </c:yVal>
          <c:smooth val="1"/>
          <c:extLst>
            <c:ext xmlns:c16="http://schemas.microsoft.com/office/drawing/2014/chart" uri="{C3380CC4-5D6E-409C-BE32-E72D297353CC}">
              <c16:uniqueId val="{00000001-A3DF-4E76-BD91-FF52CBCD9521}"/>
            </c:ext>
          </c:extLst>
        </c:ser>
        <c:dLbls>
          <c:showLegendKey val="0"/>
          <c:showVal val="0"/>
          <c:showCatName val="0"/>
          <c:showSerName val="0"/>
          <c:showPercent val="0"/>
          <c:showBubbleSize val="0"/>
        </c:dLbls>
        <c:axId val="1771248720"/>
        <c:axId val="1"/>
      </c:scatterChart>
      <c:scatterChart>
        <c:scatterStyle val="lineMarker"/>
        <c:varyColors val="0"/>
        <c:ser>
          <c:idx val="1"/>
          <c:order val="1"/>
          <c:tx>
            <c:v>Phase</c:v>
          </c:tx>
          <c:spPr>
            <a:ln w="25400">
              <a:solidFill>
                <a:srgbClr val="FF0000"/>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'LM(2)5117'!$U$82:$U$172</c:f>
              <c:numCache>
                <c:formatCode>0.0</c:formatCode>
                <c:ptCount val="91"/>
                <c:pt idx="0">
                  <c:v>-7.5596023085910673</c:v>
                </c:pt>
                <c:pt idx="1">
                  <c:v>-11.258152525226127</c:v>
                </c:pt>
                <c:pt idx="2">
                  <c:v>-14.863763880221185</c:v>
                </c:pt>
                <c:pt idx="3">
                  <c:v>-18.352468511706423</c:v>
                </c:pt>
                <c:pt idx="4">
                  <c:v>-21.70525921710162</c:v>
                </c:pt>
                <c:pt idx="5">
                  <c:v>-24.908274366952991</c:v>
                </c:pt>
                <c:pt idx="6">
                  <c:v>-27.952587113574975</c:v>
                </c:pt>
                <c:pt idx="7">
                  <c:v>-30.833707033192848</c:v>
                </c:pt>
                <c:pt idx="8">
                  <c:v>-33.550911840115077</c:v>
                </c:pt>
                <c:pt idx="9">
                  <c:v>-36.106513874640555</c:v>
                </c:pt>
                <c:pt idx="10">
                  <c:v>-38.505141123993823</c:v>
                </c:pt>
                <c:pt idx="11">
                  <c:v>-40.753084768660294</c:v>
                </c:pt>
                <c:pt idx="12">
                  <c:v>-42.857740655447635</c:v>
                </c:pt>
                <c:pt idx="13">
                  <c:v>-44.827153429544325</c:v>
                </c:pt>
                <c:pt idx="14">
                  <c:v>-46.669659684134423</c:v>
                </c:pt>
                <c:pt idx="15">
                  <c:v>-48.393619473691842</c:v>
                </c:pt>
                <c:pt idx="16">
                  <c:v>-50.0072224834419</c:v>
                </c:pt>
                <c:pt idx="17">
                  <c:v>-51.518354688050792</c:v>
                </c:pt>
                <c:pt idx="18">
                  <c:v>-52.934512369022855</c:v>
                </c:pt>
                <c:pt idx="19">
                  <c:v>-63.20140348356378</c:v>
                </c:pt>
                <c:pt idx="20">
                  <c:v>-69.170844829664929</c:v>
                </c:pt>
                <c:pt idx="21">
                  <c:v>-72.984780215286108</c:v>
                </c:pt>
                <c:pt idx="22">
                  <c:v>-75.602373492669258</c:v>
                </c:pt>
                <c:pt idx="23">
                  <c:v>-77.496672679560547</c:v>
                </c:pt>
                <c:pt idx="24">
                  <c:v>-78.923340249219862</c:v>
                </c:pt>
                <c:pt idx="25">
                  <c:v>-80.031346507273014</c:v>
                </c:pt>
                <c:pt idx="26">
                  <c:v>-80.912921365858196</c:v>
                </c:pt>
                <c:pt idx="27">
                  <c:v>-81.628047154312597</c:v>
                </c:pt>
                <c:pt idx="28">
                  <c:v>-82.21734536901252</c:v>
                </c:pt>
                <c:pt idx="29">
                  <c:v>-82.709270282337201</c:v>
                </c:pt>
                <c:pt idx="30">
                  <c:v>-83.124329831227968</c:v>
                </c:pt>
                <c:pt idx="31">
                  <c:v>-83.477669421505809</c:v>
                </c:pt>
                <c:pt idx="32">
                  <c:v>-83.780712125168861</c:v>
                </c:pt>
                <c:pt idx="33">
                  <c:v>-84.042233147756207</c:v>
                </c:pt>
                <c:pt idx="34">
                  <c:v>-84.269083294188533</c:v>
                </c:pt>
                <c:pt idx="35">
                  <c:v>-84.466688013847971</c:v>
                </c:pt>
                <c:pt idx="36">
                  <c:v>-84.639399095256309</c:v>
                </c:pt>
                <c:pt idx="37">
                  <c:v>-85.542508941062451</c:v>
                </c:pt>
                <c:pt idx="38">
                  <c:v>-85.731955651667718</c:v>
                </c:pt>
                <c:pt idx="39">
                  <c:v>-85.635633928815395</c:v>
                </c:pt>
                <c:pt idx="40">
                  <c:v>-85.396818498120268</c:v>
                </c:pt>
                <c:pt idx="41">
                  <c:v>-85.077113659868715</c:v>
                </c:pt>
                <c:pt idx="42">
                  <c:v>-84.707437378750171</c:v>
                </c:pt>
                <c:pt idx="43">
                  <c:v>-84.305053696009296</c:v>
                </c:pt>
                <c:pt idx="44">
                  <c:v>-83.880393984714601</c:v>
                </c:pt>
                <c:pt idx="45">
                  <c:v>-83.440159769197066</c:v>
                </c:pt>
                <c:pt idx="46">
                  <c:v>-82.988874810619649</c:v>
                </c:pt>
                <c:pt idx="47">
                  <c:v>-82.529721040894358</c:v>
                </c:pt>
                <c:pt idx="48">
                  <c:v>-82.065016272579939</c:v>
                </c:pt>
                <c:pt idx="49">
                  <c:v>-81.596500801447306</c:v>
                </c:pt>
                <c:pt idx="50">
                  <c:v>-81.125516491395331</c:v>
                </c:pt>
                <c:pt idx="51">
                  <c:v>-80.653122607900301</c:v>
                </c:pt>
                <c:pt idx="52">
                  <c:v>-80.180172997960113</c:v>
                </c:pt>
                <c:pt idx="53">
                  <c:v>-79.70736886010171</c:v>
                </c:pt>
                <c:pt idx="54">
                  <c:v>-79.235295651883476</c:v>
                </c:pt>
                <c:pt idx="55">
                  <c:v>-74.637686831418875</c:v>
                </c:pt>
                <c:pt idx="56">
                  <c:v>-70.411119298783134</c:v>
                </c:pt>
                <c:pt idx="57">
                  <c:v>-66.656962509024524</c:v>
                </c:pt>
                <c:pt idx="58">
                  <c:v>-63.404789703454469</c:v>
                </c:pt>
                <c:pt idx="59">
                  <c:v>-60.644816186709654</c:v>
                </c:pt>
                <c:pt idx="60">
                  <c:v>-58.345178527338959</c:v>
                </c:pt>
                <c:pt idx="61">
                  <c:v>-56.463393150193859</c:v>
                </c:pt>
                <c:pt idx="62">
                  <c:v>-54.953733541015112</c:v>
                </c:pt>
                <c:pt idx="63">
                  <c:v>-53.771580466156088</c:v>
                </c:pt>
                <c:pt idx="64">
                  <c:v>-52.87569176669718</c:v>
                </c:pt>
                <c:pt idx="65">
                  <c:v>-52.229157721987477</c:v>
                </c:pt>
                <c:pt idx="66">
                  <c:v>-51.799590577249283</c:v>
                </c:pt>
                <c:pt idx="67">
                  <c:v>-51.55890692409308</c:v>
                </c:pt>
                <c:pt idx="68">
                  <c:v>-51.482921565774333</c:v>
                </c:pt>
                <c:pt idx="69">
                  <c:v>-51.550878082262813</c:v>
                </c:pt>
                <c:pt idx="70">
                  <c:v>-51.744983046647498</c:v>
                </c:pt>
                <c:pt idx="71">
                  <c:v>-52.049976318935002</c:v>
                </c:pt>
                <c:pt idx="72">
                  <c:v>-52.452750314349501</c:v>
                </c:pt>
                <c:pt idx="73">
                  <c:v>-59.982265311247431</c:v>
                </c:pt>
                <c:pt idx="74">
                  <c:v>-70.746633639622246</c:v>
                </c:pt>
                <c:pt idx="75">
                  <c:v>-82.733927098972288</c:v>
                </c:pt>
                <c:pt idx="76">
                  <c:v>-95.08330551992087</c:v>
                </c:pt>
                <c:pt idx="77">
                  <c:v>-107.29227756821837</c:v>
                </c:pt>
                <c:pt idx="78">
                  <c:v>-119.01479564043316</c:v>
                </c:pt>
                <c:pt idx="79">
                  <c:v>-130.01354927419243</c:v>
                </c:pt>
                <c:pt idx="80">
                  <c:v>-140.14874264481378</c:v>
                </c:pt>
                <c:pt idx="81">
                  <c:v>-149.36568229061251</c:v>
                </c:pt>
                <c:pt idx="82">
                  <c:v>-157.67463897486257</c:v>
                </c:pt>
                <c:pt idx="83">
                  <c:v>-165.12800178243842</c:v>
                </c:pt>
                <c:pt idx="84">
                  <c:v>-171.80040631400263</c:v>
                </c:pt>
                <c:pt idx="85">
                  <c:v>-177.77439984875929</c:v>
                </c:pt>
                <c:pt idx="86">
                  <c:v>176.86846753970897</c:v>
                </c:pt>
                <c:pt idx="87">
                  <c:v>172.05241664009816</c:v>
                </c:pt>
                <c:pt idx="88">
                  <c:v>167.70949891080753</c:v>
                </c:pt>
                <c:pt idx="89">
                  <c:v>163.78006295190301</c:v>
                </c:pt>
                <c:pt idx="90">
                  <c:v>160.21238096980537</c:v>
                </c:pt>
              </c:numCache>
            </c:numRef>
          </c:yVal>
          <c:smooth val="1"/>
          <c:extLst>
            <c:ext xmlns:c16="http://schemas.microsoft.com/office/drawing/2014/chart" uri="{C3380CC4-5D6E-409C-BE32-E72D297353CC}">
              <c16:uniqueId val="{00000002-A3DF-4E76-BD91-FF52CBCD9521}"/>
            </c:ext>
          </c:extLst>
        </c:ser>
        <c:ser>
          <c:idx val="3"/>
          <c:order val="3"/>
          <c:spPr>
            <a:ln w="12700">
              <a:solidFill>
                <a:srgbClr val="FFCC99"/>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'LM(2)5117'!$AA$82:$AA$172</c:f>
              <c:numCache>
                <c:formatCode>0.0</c:formatCode>
                <c:ptCount val="91"/>
                <c:pt idx="0">
                  <c:v>-7.562515237423046</c:v>
                </c:pt>
                <c:pt idx="1">
                  <c:v>-11.262783664453465</c:v>
                </c:pt>
                <c:pt idx="2">
                  <c:v>-14.870403169402515</c:v>
                </c:pt>
                <c:pt idx="3">
                  <c:v>-18.361466595812804</c:v>
                </c:pt>
                <c:pt idx="4">
                  <c:v>-21.717004036574608</c:v>
                </c:pt>
                <c:pt idx="5">
                  <c:v>-24.923168863138429</c:v>
                </c:pt>
                <c:pt idx="6">
                  <c:v>-27.971030119939602</c:v>
                </c:pt>
                <c:pt idx="7">
                  <c:v>-30.856078469844135</c:v>
                </c:pt>
                <c:pt idx="8">
                  <c:v>-33.577562464703981</c:v>
                </c:pt>
                <c:pt idx="9">
                  <c:v>-36.137759215958184</c:v>
                </c:pt>
                <c:pt idx="10">
                  <c:v>-38.54125887065986</c:v>
                </c:pt>
                <c:pt idx="11">
                  <c:v>-40.794314763137429</c:v>
                </c:pt>
                <c:pt idx="12">
                  <c:v>-42.904286680263219</c:v>
                </c:pt>
                <c:pt idx="13">
                  <c:v>-44.879186095774898</c:v>
                </c:pt>
                <c:pt idx="14">
                  <c:v>-46.72731988642456</c:v>
                </c:pt>
                <c:pt idx="15">
                  <c:v>-48.457022026276405</c:v>
                </c:pt>
                <c:pt idx="16">
                  <c:v>-50.076459679940903</c:v>
                </c:pt>
                <c:pt idx="17">
                  <c:v>-51.593499628235406</c:v>
                </c:pt>
                <c:pt idx="18">
                  <c:v>-53.015621969154125</c:v>
                </c:pt>
                <c:pt idx="19">
                  <c:v>-63.343226958665007</c:v>
                </c:pt>
                <c:pt idx="20">
                  <c:v>-69.372852637458919</c:v>
                </c:pt>
                <c:pt idx="21">
                  <c:v>-73.245862514593512</c:v>
                </c:pt>
                <c:pt idx="22">
                  <c:v>-75.921673038113568</c:v>
                </c:pt>
                <c:pt idx="23">
                  <c:v>-77.873588025534104</c:v>
                </c:pt>
                <c:pt idx="24">
                  <c:v>-79.357449035278478</c:v>
                </c:pt>
                <c:pt idx="25">
                  <c:v>-80.522345568609452</c:v>
                </c:pt>
                <c:pt idx="26">
                  <c:v>-81.460587417661074</c:v>
                </c:pt>
                <c:pt idx="27">
                  <c:v>-82.232211595555995</c:v>
                </c:pt>
                <c:pt idx="28">
                  <c:v>-82.87787794810049</c:v>
                </c:pt>
                <c:pt idx="29">
                  <c:v>-83.426068276674854</c:v>
                </c:pt>
                <c:pt idx="30">
                  <c:v>-83.897310706977493</c:v>
                </c:pt>
                <c:pt idx="31">
                  <c:v>-84.306765737373368</c:v>
                </c:pt>
                <c:pt idx="32">
                  <c:v>-84.665867916745384</c:v>
                </c:pt>
                <c:pt idx="33">
                  <c:v>-84.983401310857602</c:v>
                </c:pt>
                <c:pt idx="34">
                  <c:v>-85.266223656656692</c:v>
                </c:pt>
                <c:pt idx="35">
                  <c:v>-85.519765891181251</c:v>
                </c:pt>
                <c:pt idx="36">
                  <c:v>-85.748384192428631</c:v>
                </c:pt>
                <c:pt idx="37">
                  <c:v>-87.209437836663085</c:v>
                </c:pt>
                <c:pt idx="38">
                  <c:v>-87.955487493250416</c:v>
                </c:pt>
                <c:pt idx="39">
                  <c:v>-88.41470453596294</c:v>
                </c:pt>
                <c:pt idx="40">
                  <c:v>-88.730334475012427</c:v>
                </c:pt>
                <c:pt idx="41">
                  <c:v>-88.963865047616608</c:v>
                </c:pt>
                <c:pt idx="42">
                  <c:v>-89.146065973704694</c:v>
                </c:pt>
                <c:pt idx="43">
                  <c:v>-89.294040238186213</c:v>
                </c:pt>
                <c:pt idx="44">
                  <c:v>-89.418053086739619</c:v>
                </c:pt>
                <c:pt idx="45">
                  <c:v>-89.52463851463007</c:v>
                </c:pt>
                <c:pt idx="46">
                  <c:v>-89.618153314108611</c:v>
                </c:pt>
                <c:pt idx="47">
                  <c:v>-89.701614173966675</c:v>
                </c:pt>
                <c:pt idx="48">
                  <c:v>-89.777176149851442</c:v>
                </c:pt>
                <c:pt idx="49">
                  <c:v>-89.846419804410743</c:v>
                </c:pt>
                <c:pt idx="50">
                  <c:v>-89.910530697976327</c:v>
                </c:pt>
                <c:pt idx="51">
                  <c:v>-89.970415543987585</c:v>
                </c:pt>
                <c:pt idx="52">
                  <c:v>-90.026779653672747</c:v>
                </c:pt>
                <c:pt idx="53">
                  <c:v>-90.080179928842412</c:v>
                </c:pt>
                <c:pt idx="54">
                  <c:v>-90.13106195935454</c:v>
                </c:pt>
                <c:pt idx="55">
                  <c:v>-90.556958641991628</c:v>
                </c:pt>
                <c:pt idx="56">
                  <c:v>-90.91177776614829</c:v>
                </c:pt>
                <c:pt idx="57">
                  <c:v>-91.238956645137847</c:v>
                </c:pt>
                <c:pt idx="58">
                  <c:v>-91.553159892353023</c:v>
                </c:pt>
                <c:pt idx="59">
                  <c:v>-91.86082876050348</c:v>
                </c:pt>
                <c:pt idx="60">
                  <c:v>-92.165318304399364</c:v>
                </c:pt>
                <c:pt idx="61">
                  <c:v>-92.468609437776109</c:v>
                </c:pt>
                <c:pt idx="62">
                  <c:v>-92.771993439199491</c:v>
                </c:pt>
                <c:pt idx="63">
                  <c:v>-93.076382804791962</c:v>
                </c:pt>
                <c:pt idx="64">
                  <c:v>-93.382466417948237</c:v>
                </c:pt>
                <c:pt idx="65">
                  <c:v>-93.690792872253027</c:v>
                </c:pt>
                <c:pt idx="66">
                  <c:v>-94.001817878257128</c:v>
                </c:pt>
                <c:pt idx="67">
                  <c:v>-94.315932522367916</c:v>
                </c:pt>
                <c:pt idx="68">
                  <c:v>-94.633480762488773</c:v>
                </c:pt>
                <c:pt idx="69">
                  <c:v>-94.954770599767656</c:v>
                </c:pt>
                <c:pt idx="70">
                  <c:v>-95.280081393150056</c:v>
                </c:pt>
                <c:pt idx="71">
                  <c:v>-95.609668745164072</c:v>
                </c:pt>
                <c:pt idx="72">
                  <c:v>-95.943767816302199</c:v>
                </c:pt>
                <c:pt idx="73">
                  <c:v>-99.573047546654351</c:v>
                </c:pt>
                <c:pt idx="74">
                  <c:v>-103.8005041500883</c:v>
                </c:pt>
                <c:pt idx="75">
                  <c:v>-108.63086098020125</c:v>
                </c:pt>
                <c:pt idx="76">
                  <c:v>-113.95177656971929</c:v>
                </c:pt>
                <c:pt idx="77">
                  <c:v>-119.56726635933833</c:v>
                </c:pt>
                <c:pt idx="78">
                  <c:v>-125.24817182722889</c:v>
                </c:pt>
                <c:pt idx="79">
                  <c:v>-130.78354930942297</c:v>
                </c:pt>
                <c:pt idx="80">
                  <c:v>-136.01557296093227</c:v>
                </c:pt>
                <c:pt idx="81">
                  <c:v>-140.85075742559854</c:v>
                </c:pt>
                <c:pt idx="82">
                  <c:v>-145.25242688215823</c:v>
                </c:pt>
                <c:pt idx="83">
                  <c:v>-149.22459270816367</c:v>
                </c:pt>
                <c:pt idx="84">
                  <c:v>-152.79553771500105</c:v>
                </c:pt>
                <c:pt idx="85">
                  <c:v>-156.00510254351309</c:v>
                </c:pt>
                <c:pt idx="86">
                  <c:v>-158.89637733219675</c:v>
                </c:pt>
                <c:pt idx="87">
                  <c:v>-161.5109769920914</c:v>
                </c:pt>
                <c:pt idx="88">
                  <c:v>-163.88674884100743</c:v>
                </c:pt>
                <c:pt idx="89">
                  <c:v>-166.05694593560898</c:v>
                </c:pt>
                <c:pt idx="90">
                  <c:v>-168.05019845833098</c:v>
                </c:pt>
              </c:numCache>
            </c:numRef>
          </c:yVal>
          <c:smooth val="1"/>
          <c:extLst>
            <c:ext xmlns:c16="http://schemas.microsoft.com/office/drawing/2014/chart" uri="{C3380CC4-5D6E-409C-BE32-E72D297353CC}">
              <c16:uniqueId val="{00000003-A3DF-4E76-BD91-FF52CBCD9521}"/>
            </c:ext>
          </c:extLst>
        </c:ser>
        <c:dLbls>
          <c:showLegendKey val="0"/>
          <c:showVal val="0"/>
          <c:showCatName val="0"/>
          <c:showSerName val="0"/>
          <c:showPercent val="0"/>
          <c:showBubbleSize val="0"/>
        </c:dLbls>
        <c:axId val="3"/>
        <c:axId val="4"/>
      </c:scatterChart>
      <c:valAx>
        <c:axId val="1771248720"/>
        <c:scaling>
          <c:logBase val="10"/>
          <c:orientation val="minMax"/>
          <c:min val="10"/>
        </c:scaling>
        <c:delete val="0"/>
        <c:axPos val="b"/>
        <c:majorGridlines>
          <c:spPr>
            <a:ln w="3175">
              <a:solidFill>
                <a:srgbClr val="000000"/>
              </a:solidFill>
              <a:prstDash val="solid"/>
            </a:ln>
          </c:spPr>
        </c:majorGridlines>
        <c:minorGridlines>
          <c:spPr>
            <a:ln w="3175">
              <a:solidFill>
                <a:srgbClr val="000000"/>
              </a:solidFill>
              <a:prstDash val="solid"/>
            </a:ln>
          </c:spPr>
        </c:minorGridlines>
        <c:title>
          <c:tx>
            <c:rich>
              <a:bodyPr/>
              <a:lstStyle/>
              <a:p>
                <a:pPr>
                  <a:defRPr sz="800" b="1" i="0" u="none" strike="noStrike" baseline="0">
                    <a:solidFill>
                      <a:srgbClr val="000000"/>
                    </a:solidFill>
                    <a:latin typeface="Arial"/>
                    <a:ea typeface="Arial"/>
                    <a:cs typeface="Arial"/>
                  </a:defRPr>
                </a:pPr>
                <a:r>
                  <a:rPr lang="en-US"/>
                  <a:t>Frequency(Hz)</a:t>
                </a:r>
              </a:p>
            </c:rich>
          </c:tx>
          <c:layout>
            <c:manualLayout>
              <c:xMode val="edge"/>
              <c:yMode val="edge"/>
              <c:x val="0.39287869451101221"/>
              <c:y val="0.89432172952065203"/>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Arial"/>
                <a:ea typeface="Arial"/>
                <a:cs typeface="Arial"/>
              </a:defRPr>
            </a:pPr>
            <a:endParaRPr lang="en-US"/>
          </a:p>
        </c:txPr>
        <c:crossAx val="1"/>
        <c:crossesAt val="-60"/>
        <c:crossBetween val="midCat"/>
        <c:majorUnit val="10"/>
        <c:minorUnit val="10"/>
      </c:valAx>
      <c:valAx>
        <c:axId val="1"/>
        <c:scaling>
          <c:orientation val="minMax"/>
          <c:max val="60"/>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FF"/>
                    </a:solidFill>
                    <a:latin typeface="Arial"/>
                    <a:ea typeface="Arial"/>
                    <a:cs typeface="Arial"/>
                  </a:defRPr>
                </a:pPr>
                <a:r>
                  <a:rPr lang="en-US"/>
                  <a:t>Gain (dB)</a:t>
                </a:r>
              </a:p>
            </c:rich>
          </c:tx>
          <c:layout>
            <c:manualLayout>
              <c:xMode val="edge"/>
              <c:yMode val="edge"/>
              <c:x val="2.4691772224124157E-2"/>
              <c:y val="0.43266542340102226"/>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1248720"/>
        <c:crossesAt val="1"/>
        <c:crossBetween val="midCat"/>
        <c:minorUnit val="4"/>
      </c:valAx>
      <c:valAx>
        <c:axId val="3"/>
        <c:scaling>
          <c:logBase val="10"/>
          <c:orientation val="minMax"/>
        </c:scaling>
        <c:delete val="1"/>
        <c:axPos val="b"/>
        <c:numFmt formatCode="General" sourceLinked="1"/>
        <c:majorTickMark val="out"/>
        <c:minorTickMark val="none"/>
        <c:tickLblPos val="nextTo"/>
        <c:crossAx val="4"/>
        <c:crosses val="autoZero"/>
        <c:crossBetween val="midCat"/>
      </c:valAx>
      <c:valAx>
        <c:axId val="4"/>
        <c:scaling>
          <c:orientation val="minMax"/>
          <c:max val="30"/>
          <c:min val="-150"/>
        </c:scaling>
        <c:delete val="0"/>
        <c:axPos val="r"/>
        <c:title>
          <c:tx>
            <c:rich>
              <a:bodyPr/>
              <a:lstStyle/>
              <a:p>
                <a:pPr>
                  <a:defRPr sz="800" b="1" i="0" u="none" strike="noStrike" baseline="0">
                    <a:solidFill>
                      <a:srgbClr val="FF0000"/>
                    </a:solidFill>
                    <a:latin typeface="Arial"/>
                    <a:ea typeface="Arial"/>
                    <a:cs typeface="Arial"/>
                  </a:defRPr>
                </a:pPr>
                <a:r>
                  <a:rPr lang="en-US"/>
                  <a:t>Phase (deg)</a:t>
                </a:r>
              </a:p>
            </c:rich>
          </c:tx>
          <c:layout>
            <c:manualLayout>
              <c:xMode val="edge"/>
              <c:yMode val="edge"/>
              <c:x val="0.9347460915211685"/>
              <c:y val="0.40687733112308327"/>
            </c:manualLayout>
          </c:layout>
          <c:overlay val="0"/>
          <c:spPr>
            <a:noFill/>
            <a:ln w="25400">
              <a:noFill/>
            </a:ln>
          </c:sp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3"/>
        <c:crosses val="max"/>
        <c:crossBetween val="midCat"/>
        <c:majorUnit val="30"/>
      </c:valAx>
      <c:spPr>
        <a:solidFill>
          <a:srgbClr val="FFFFFF"/>
        </a:solidFill>
        <a:ln w="3175">
          <a:solidFill>
            <a:srgbClr val="00000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US"/>
              <a:t>Feedback Gain/Phase</a:t>
            </a:r>
          </a:p>
        </c:rich>
      </c:tx>
      <c:layout>
        <c:manualLayout>
          <c:xMode val="edge"/>
          <c:yMode val="edge"/>
          <c:x val="0.37213449670142584"/>
          <c:y val="3.438374326920475E-2"/>
        </c:manualLayout>
      </c:layout>
      <c:overlay val="0"/>
      <c:spPr>
        <a:noFill/>
        <a:ln w="25400">
          <a:noFill/>
        </a:ln>
      </c:spPr>
    </c:title>
    <c:autoTitleDeleted val="0"/>
    <c:plotArea>
      <c:layout>
        <c:manualLayout>
          <c:layoutTarget val="inner"/>
          <c:xMode val="edge"/>
          <c:yMode val="edge"/>
          <c:x val="0.17655483160443564"/>
          <c:y val="0.17576176889098916"/>
          <c:w val="0.59366562126991451"/>
          <c:h val="0.63469527655079472"/>
        </c:manualLayout>
      </c:layout>
      <c:scatterChart>
        <c:scatterStyle val="smoothMarker"/>
        <c:varyColors val="0"/>
        <c:ser>
          <c:idx val="0"/>
          <c:order val="0"/>
          <c:tx>
            <c:v>Gain</c:v>
          </c:tx>
          <c:spPr>
            <a:ln w="25400">
              <a:solidFill>
                <a:srgbClr val="0000FF"/>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'LM(2)5117'!$V$82:$V$172</c:f>
              <c:numCache>
                <c:formatCode>0.0</c:formatCode>
                <c:ptCount val="91"/>
                <c:pt idx="0">
                  <c:v>27.388457049070301</c:v>
                </c:pt>
                <c:pt idx="1">
                  <c:v>24.012057089926806</c:v>
                </c:pt>
                <c:pt idx="2">
                  <c:v>21.709028273902987</c:v>
                </c:pt>
                <c:pt idx="3">
                  <c:v>20.010194479414587</c:v>
                </c:pt>
                <c:pt idx="4">
                  <c:v>18.702272870510587</c:v>
                </c:pt>
                <c:pt idx="5">
                  <c:v>17.668093874401901</c:v>
                </c:pt>
                <c:pt idx="6">
                  <c:v>16.835220235183101</c:v>
                </c:pt>
                <c:pt idx="7">
                  <c:v>16.155212731392709</c:v>
                </c:pt>
                <c:pt idx="8">
                  <c:v>15.593898836005245</c:v>
                </c:pt>
                <c:pt idx="9">
                  <c:v>15.126259167475363</c:v>
                </c:pt>
                <c:pt idx="10">
                  <c:v>14.733487780707968</c:v>
                </c:pt>
                <c:pt idx="11">
                  <c:v>14.401174974558682</c:v>
                </c:pt>
                <c:pt idx="12">
                  <c:v>14.118117238137451</c:v>
                </c:pt>
                <c:pt idx="13">
                  <c:v>13.875502211107065</c:v>
                </c:pt>
                <c:pt idx="14">
                  <c:v>13.666331169030334</c:v>
                </c:pt>
                <c:pt idx="15">
                  <c:v>13.484999198862862</c:v>
                </c:pt>
                <c:pt idx="16">
                  <c:v>13.326984033607214</c:v>
                </c:pt>
                <c:pt idx="17">
                  <c:v>13.188611946400499</c:v>
                </c:pt>
                <c:pt idx="18">
                  <c:v>13.06687951246737</c:v>
                </c:pt>
                <c:pt idx="19">
                  <c:v>12.380527071555484</c:v>
                </c:pt>
                <c:pt idx="20">
                  <c:v>12.112143593142893</c:v>
                </c:pt>
                <c:pt idx="21">
                  <c:v>11.982058113731144</c:v>
                </c:pt>
                <c:pt idx="22">
                  <c:v>11.909710113374746</c:v>
                </c:pt>
                <c:pt idx="23">
                  <c:v>11.865479695729213</c:v>
                </c:pt>
                <c:pt idx="24">
                  <c:v>11.836511672371659</c:v>
                </c:pt>
                <c:pt idx="25">
                  <c:v>11.816520728942976</c:v>
                </c:pt>
                <c:pt idx="26">
                  <c:v>11.802145939005715</c:v>
                </c:pt>
                <c:pt idx="27">
                  <c:v>11.791460462626716</c:v>
                </c:pt>
                <c:pt idx="28">
                  <c:v>11.783296323472051</c:v>
                </c:pt>
                <c:pt idx="29">
                  <c:v>11.77691251984734</c:v>
                </c:pt>
                <c:pt idx="30">
                  <c:v>11.771820740069499</c:v>
                </c:pt>
                <c:pt idx="31">
                  <c:v>11.767688686923281</c:v>
                </c:pt>
                <c:pt idx="32">
                  <c:v>11.764283919834387</c:v>
                </c:pt>
                <c:pt idx="33">
                  <c:v>11.761439922605483</c:v>
                </c:pt>
                <c:pt idx="34">
                  <c:v>11.759034890639429</c:v>
                </c:pt>
                <c:pt idx="35">
                  <c:v>11.756978069894654</c:v>
                </c:pt>
                <c:pt idx="36">
                  <c:v>11.755200726000734</c:v>
                </c:pt>
                <c:pt idx="37">
                  <c:v>11.745219676425478</c:v>
                </c:pt>
                <c:pt idx="38">
                  <c:v>11.740265913317977</c:v>
                </c:pt>
                <c:pt idx="39">
                  <c:v>11.736375541958235</c:v>
                </c:pt>
                <c:pt idx="40">
                  <c:v>11.732569411333731</c:v>
                </c:pt>
                <c:pt idx="41">
                  <c:v>11.728512598903379</c:v>
                </c:pt>
                <c:pt idx="42">
                  <c:v>11.72406603240433</c:v>
                </c:pt>
                <c:pt idx="43">
                  <c:v>11.719164179703112</c:v>
                </c:pt>
                <c:pt idx="44">
                  <c:v>11.713773471572871</c:v>
                </c:pt>
                <c:pt idx="45">
                  <c:v>11.707875834034967</c:v>
                </c:pt>
                <c:pt idx="46">
                  <c:v>11.701461383004272</c:v>
                </c:pt>
                <c:pt idx="47">
                  <c:v>11.694524885624858</c:v>
                </c:pt>
                <c:pt idx="48">
                  <c:v>11.687063920885079</c:v>
                </c:pt>
                <c:pt idx="49">
                  <c:v>11.679077866254994</c:v>
                </c:pt>
                <c:pt idx="50">
                  <c:v>11.670567311283531</c:v>
                </c:pt>
                <c:pt idx="51">
                  <c:v>11.661533703535023</c:v>
                </c:pt>
                <c:pt idx="52">
                  <c:v>11.651979126607618</c:v>
                </c:pt>
                <c:pt idx="53">
                  <c:v>11.641906156115706</c:v>
                </c:pt>
                <c:pt idx="54">
                  <c:v>11.631317763218675</c:v>
                </c:pt>
                <c:pt idx="55">
                  <c:v>11.497929468616963</c:v>
                </c:pt>
                <c:pt idx="56">
                  <c:v>11.317893827600074</c:v>
                </c:pt>
                <c:pt idx="57">
                  <c:v>11.0968938145532</c:v>
                </c:pt>
                <c:pt idx="58">
                  <c:v>10.841223886805132</c:v>
                </c:pt>
                <c:pt idx="59">
                  <c:v>10.557281781367983</c:v>
                </c:pt>
                <c:pt idx="60">
                  <c:v>10.251183604277028</c:v>
                </c:pt>
                <c:pt idx="61">
                  <c:v>9.9285063081560487</c:v>
                </c:pt>
                <c:pt idx="62">
                  <c:v>9.5941471456049889</c:v>
                </c:pt>
                <c:pt idx="63">
                  <c:v>9.2522762340895461</c:v>
                </c:pt>
                <c:pt idx="64">
                  <c:v>8.906354276611296</c:v>
                </c:pt>
                <c:pt idx="65">
                  <c:v>8.55919001769999</c:v>
                </c:pt>
                <c:pt idx="66">
                  <c:v>8.2130175832414221</c:v>
                </c:pt>
                <c:pt idx="67">
                  <c:v>7.8695798995711765</c:v>
                </c:pt>
                <c:pt idx="68">
                  <c:v>7.5302095819523815</c:v>
                </c:pt>
                <c:pt idx="69">
                  <c:v>7.1959025821659583</c:v>
                </c:pt>
                <c:pt idx="70">
                  <c:v>6.8673825365838272</c:v>
                </c:pt>
                <c:pt idx="71">
                  <c:v>6.5451554065603315</c:v>
                </c:pt>
                <c:pt idx="72">
                  <c:v>6.2295549338712792</c:v>
                </c:pt>
                <c:pt idx="73">
                  <c:v>3.4451832064324934</c:v>
                </c:pt>
                <c:pt idx="74">
                  <c:v>1.2372511047794286</c:v>
                </c:pt>
                <c:pt idx="75">
                  <c:v>-0.55943997687979541</c:v>
                </c:pt>
                <c:pt idx="76">
                  <c:v>-2.0642182328397247</c:v>
                </c:pt>
                <c:pt idx="77">
                  <c:v>-3.3549108194044166</c:v>
                </c:pt>
                <c:pt idx="78">
                  <c:v>-4.4831488128638508</c:v>
                </c:pt>
                <c:pt idx="79">
                  <c:v>-5.4844001238510751</c:v>
                </c:pt>
                <c:pt idx="80">
                  <c:v>-6.3838897401127284</c:v>
                </c:pt>
                <c:pt idx="81">
                  <c:v>-7.2001202145008723</c:v>
                </c:pt>
                <c:pt idx="82">
                  <c:v>-7.9470301388678042</c:v>
                </c:pt>
                <c:pt idx="83">
                  <c:v>-8.63536356163271</c:v>
                </c:pt>
                <c:pt idx="84">
                  <c:v>-9.2735675544955551</c:v>
                </c:pt>
                <c:pt idx="85">
                  <c:v>-9.8683981698937089</c:v>
                </c:pt>
                <c:pt idx="86">
                  <c:v>-10.425340487375315</c:v>
                </c:pt>
                <c:pt idx="87">
                  <c:v>-10.948906717276756</c:v>
                </c:pt>
                <c:pt idx="88">
                  <c:v>-11.442852239799834</c:v>
                </c:pt>
                <c:pt idx="89">
                  <c:v>-11.910335125897982</c:v>
                </c:pt>
                <c:pt idx="90">
                  <c:v>-12.354035916127266</c:v>
                </c:pt>
              </c:numCache>
            </c:numRef>
          </c:yVal>
          <c:smooth val="1"/>
          <c:extLst>
            <c:ext xmlns:c16="http://schemas.microsoft.com/office/drawing/2014/chart" uri="{C3380CC4-5D6E-409C-BE32-E72D297353CC}">
              <c16:uniqueId val="{00000000-625B-4534-8612-3E86CA6D61E5}"/>
            </c:ext>
          </c:extLst>
        </c:ser>
        <c:dLbls>
          <c:showLegendKey val="0"/>
          <c:showVal val="0"/>
          <c:showCatName val="0"/>
          <c:showSerName val="0"/>
          <c:showPercent val="0"/>
          <c:showBubbleSize val="0"/>
        </c:dLbls>
        <c:axId val="407352880"/>
        <c:axId val="1"/>
      </c:scatterChart>
      <c:scatterChart>
        <c:scatterStyle val="lineMarker"/>
        <c:varyColors val="0"/>
        <c:ser>
          <c:idx val="1"/>
          <c:order val="1"/>
          <c:tx>
            <c:v>Phase</c:v>
          </c:tx>
          <c:spPr>
            <a:ln w="25400">
              <a:solidFill>
                <a:srgbClr val="FF0000"/>
              </a:solidFill>
              <a:prstDash val="solid"/>
            </a:ln>
          </c:spPr>
          <c:marker>
            <c:symbol val="none"/>
          </c:marker>
          <c:xVal>
            <c:numRef>
              <c:f>'LM(2)5117'!$R$82:$R$172</c:f>
              <c:numCache>
                <c:formatCode>General</c:formatCode>
                <c:ptCount val="91"/>
                <c:pt idx="0">
                  <c:v>4</c:v>
                </c:pt>
                <c:pt idx="1">
                  <c:v>6</c:v>
                </c:pt>
                <c:pt idx="2">
                  <c:v>8</c:v>
                </c:pt>
                <c:pt idx="3">
                  <c:v>10</c:v>
                </c:pt>
                <c:pt idx="4">
                  <c:v>12</c:v>
                </c:pt>
                <c:pt idx="5">
                  <c:v>14</c:v>
                </c:pt>
                <c:pt idx="6">
                  <c:v>16</c:v>
                </c:pt>
                <c:pt idx="7">
                  <c:v>18</c:v>
                </c:pt>
                <c:pt idx="8">
                  <c:v>20</c:v>
                </c:pt>
                <c:pt idx="9">
                  <c:v>22</c:v>
                </c:pt>
                <c:pt idx="10">
                  <c:v>24</c:v>
                </c:pt>
                <c:pt idx="11">
                  <c:v>26</c:v>
                </c:pt>
                <c:pt idx="12">
                  <c:v>28</c:v>
                </c:pt>
                <c:pt idx="13">
                  <c:v>30</c:v>
                </c:pt>
                <c:pt idx="14">
                  <c:v>32</c:v>
                </c:pt>
                <c:pt idx="15">
                  <c:v>34</c:v>
                </c:pt>
                <c:pt idx="16">
                  <c:v>36</c:v>
                </c:pt>
                <c:pt idx="17">
                  <c:v>38</c:v>
                </c:pt>
                <c:pt idx="18">
                  <c:v>40</c:v>
                </c:pt>
                <c:pt idx="19">
                  <c:v>60</c:v>
                </c:pt>
                <c:pt idx="20">
                  <c:v>80</c:v>
                </c:pt>
                <c:pt idx="21">
                  <c:v>100</c:v>
                </c:pt>
                <c:pt idx="22">
                  <c:v>120</c:v>
                </c:pt>
                <c:pt idx="23">
                  <c:v>140</c:v>
                </c:pt>
                <c:pt idx="24">
                  <c:v>160</c:v>
                </c:pt>
                <c:pt idx="25">
                  <c:v>180</c:v>
                </c:pt>
                <c:pt idx="26">
                  <c:v>200</c:v>
                </c:pt>
                <c:pt idx="27">
                  <c:v>220</c:v>
                </c:pt>
                <c:pt idx="28">
                  <c:v>240</c:v>
                </c:pt>
                <c:pt idx="29">
                  <c:v>260</c:v>
                </c:pt>
                <c:pt idx="30">
                  <c:v>280</c:v>
                </c:pt>
                <c:pt idx="31">
                  <c:v>300</c:v>
                </c:pt>
                <c:pt idx="32">
                  <c:v>320</c:v>
                </c:pt>
                <c:pt idx="33">
                  <c:v>340</c:v>
                </c:pt>
                <c:pt idx="34">
                  <c:v>360</c:v>
                </c:pt>
                <c:pt idx="35">
                  <c:v>380</c:v>
                </c:pt>
                <c:pt idx="36">
                  <c:v>400</c:v>
                </c:pt>
                <c:pt idx="37">
                  <c:v>600</c:v>
                </c:pt>
                <c:pt idx="38">
                  <c:v>800</c:v>
                </c:pt>
                <c:pt idx="39">
                  <c:v>1000</c:v>
                </c:pt>
                <c:pt idx="40">
                  <c:v>1200</c:v>
                </c:pt>
                <c:pt idx="41">
                  <c:v>1400</c:v>
                </c:pt>
                <c:pt idx="42">
                  <c:v>1600</c:v>
                </c:pt>
                <c:pt idx="43">
                  <c:v>1800</c:v>
                </c:pt>
                <c:pt idx="44">
                  <c:v>2000</c:v>
                </c:pt>
                <c:pt idx="45">
                  <c:v>2200</c:v>
                </c:pt>
                <c:pt idx="46">
                  <c:v>2400</c:v>
                </c:pt>
                <c:pt idx="47">
                  <c:v>2600</c:v>
                </c:pt>
                <c:pt idx="48">
                  <c:v>2800</c:v>
                </c:pt>
                <c:pt idx="49">
                  <c:v>3000</c:v>
                </c:pt>
                <c:pt idx="50">
                  <c:v>3200</c:v>
                </c:pt>
                <c:pt idx="51">
                  <c:v>3400</c:v>
                </c:pt>
                <c:pt idx="52">
                  <c:v>3600</c:v>
                </c:pt>
                <c:pt idx="53">
                  <c:v>3800</c:v>
                </c:pt>
                <c:pt idx="54">
                  <c:v>4000</c:v>
                </c:pt>
                <c:pt idx="55">
                  <c:v>6000</c:v>
                </c:pt>
                <c:pt idx="56">
                  <c:v>8000</c:v>
                </c:pt>
                <c:pt idx="57">
                  <c:v>10000</c:v>
                </c:pt>
                <c:pt idx="58">
                  <c:v>12000</c:v>
                </c:pt>
                <c:pt idx="59">
                  <c:v>14000</c:v>
                </c:pt>
                <c:pt idx="60">
                  <c:v>16000</c:v>
                </c:pt>
                <c:pt idx="61">
                  <c:v>18000</c:v>
                </c:pt>
                <c:pt idx="62">
                  <c:v>20000</c:v>
                </c:pt>
                <c:pt idx="63">
                  <c:v>22000</c:v>
                </c:pt>
                <c:pt idx="64">
                  <c:v>24000</c:v>
                </c:pt>
                <c:pt idx="65">
                  <c:v>26000</c:v>
                </c:pt>
                <c:pt idx="66">
                  <c:v>28000</c:v>
                </c:pt>
                <c:pt idx="67">
                  <c:v>30000</c:v>
                </c:pt>
                <c:pt idx="68">
                  <c:v>32000</c:v>
                </c:pt>
                <c:pt idx="69">
                  <c:v>34000</c:v>
                </c:pt>
                <c:pt idx="70">
                  <c:v>36000</c:v>
                </c:pt>
                <c:pt idx="71">
                  <c:v>38000</c:v>
                </c:pt>
                <c:pt idx="72">
                  <c:v>40000</c:v>
                </c:pt>
                <c:pt idx="73">
                  <c:v>60000</c:v>
                </c:pt>
                <c:pt idx="74">
                  <c:v>80000</c:v>
                </c:pt>
                <c:pt idx="75">
                  <c:v>100000</c:v>
                </c:pt>
                <c:pt idx="76">
                  <c:v>120000</c:v>
                </c:pt>
                <c:pt idx="77">
                  <c:v>140000</c:v>
                </c:pt>
                <c:pt idx="78">
                  <c:v>160000</c:v>
                </c:pt>
                <c:pt idx="79">
                  <c:v>180000</c:v>
                </c:pt>
                <c:pt idx="80">
                  <c:v>200000</c:v>
                </c:pt>
                <c:pt idx="81">
                  <c:v>220000</c:v>
                </c:pt>
                <c:pt idx="82">
                  <c:v>240000</c:v>
                </c:pt>
                <c:pt idx="83">
                  <c:v>260000</c:v>
                </c:pt>
                <c:pt idx="84">
                  <c:v>280000</c:v>
                </c:pt>
                <c:pt idx="85">
                  <c:v>300000</c:v>
                </c:pt>
                <c:pt idx="86">
                  <c:v>320000</c:v>
                </c:pt>
                <c:pt idx="87">
                  <c:v>340000</c:v>
                </c:pt>
                <c:pt idx="88">
                  <c:v>360000</c:v>
                </c:pt>
                <c:pt idx="89">
                  <c:v>380000</c:v>
                </c:pt>
                <c:pt idx="90">
                  <c:v>400000</c:v>
                </c:pt>
              </c:numCache>
            </c:numRef>
          </c:xVal>
          <c:yVal>
            <c:numRef>
              <c:f>'LM(2)5117'!$W$82:$W$172</c:f>
              <c:numCache>
                <c:formatCode>0.0</c:formatCode>
                <c:ptCount val="91"/>
                <c:pt idx="0">
                  <c:v>99.491046320695645</c:v>
                </c:pt>
                <c:pt idx="1">
                  <c:v>104.07746530997713</c:v>
                </c:pt>
                <c:pt idx="2">
                  <c:v>108.48669316774868</c:v>
                </c:pt>
                <c:pt idx="3">
                  <c:v>112.67986477242947</c:v>
                </c:pt>
                <c:pt idx="4">
                  <c:v>116.63095133394184</c:v>
                </c:pt>
                <c:pt idx="5">
                  <c:v>120.32595958110899</c:v>
                </c:pt>
                <c:pt idx="6">
                  <c:v>123.76112516897572</c:v>
                </c:pt>
                <c:pt idx="7">
                  <c:v>126.94065844309914</c:v>
                </c:pt>
                <c:pt idx="8">
                  <c:v>129.87448121829777</c:v>
                </c:pt>
                <c:pt idx="9">
                  <c:v>132.57622570422356</c:v>
                </c:pt>
                <c:pt idx="10">
                  <c:v>135.0616167841732</c:v>
                </c:pt>
                <c:pt idx="11">
                  <c:v>137.34725414849981</c:v>
                </c:pt>
                <c:pt idx="12">
                  <c:v>139.44975203428876</c:v>
                </c:pt>
                <c:pt idx="13">
                  <c:v>141.38517015679801</c:v>
                </c:pt>
                <c:pt idx="14">
                  <c:v>143.16866655026567</c:v>
                </c:pt>
                <c:pt idx="15">
                  <c:v>144.81431090277596</c:v>
                </c:pt>
                <c:pt idx="16">
                  <c:v>146.33500872421104</c:v>
                </c:pt>
                <c:pt idx="17">
                  <c:v>147.74249856395934</c:v>
                </c:pt>
                <c:pt idx="18">
                  <c:v>149.04739479519833</c:v>
                </c:pt>
                <c:pt idx="19">
                  <c:v>158.1414420977359</c:v>
                </c:pt>
                <c:pt idx="20">
                  <c:v>163.18157495983189</c:v>
                </c:pt>
                <c:pt idx="21">
                  <c:v>166.32802366810469</c:v>
                </c:pt>
                <c:pt idx="22">
                  <c:v>168.45995094749134</c:v>
                </c:pt>
                <c:pt idx="23">
                  <c:v>169.99049291857298</c:v>
                </c:pt>
                <c:pt idx="24">
                  <c:v>171.13687720489284</c:v>
                </c:pt>
                <c:pt idx="25">
                  <c:v>172.02353531570483</c:v>
                </c:pt>
                <c:pt idx="26">
                  <c:v>172.72663710436493</c:v>
                </c:pt>
                <c:pt idx="27">
                  <c:v>173.29533049380743</c:v>
                </c:pt>
                <c:pt idx="28">
                  <c:v>173.7627096495242</c:v>
                </c:pt>
                <c:pt idx="29">
                  <c:v>174.1518570657307</c:v>
                </c:pt>
                <c:pt idx="30">
                  <c:v>174.4793544340632</c:v>
                </c:pt>
                <c:pt idx="31">
                  <c:v>174.75741600830227</c:v>
                </c:pt>
                <c:pt idx="32">
                  <c:v>174.99523512268894</c:v>
                </c:pt>
                <c:pt idx="33">
                  <c:v>175.19986227621129</c:v>
                </c:pt>
                <c:pt idx="34">
                  <c:v>175.37679420632671</c:v>
                </c:pt>
                <c:pt idx="35">
                  <c:v>175.53037901374478</c:v>
                </c:pt>
                <c:pt idx="36">
                  <c:v>175.66410095902302</c:v>
                </c:pt>
                <c:pt idx="37">
                  <c:v>176.34455775898965</c:v>
                </c:pt>
                <c:pt idx="38">
                  <c:v>176.45672240578921</c:v>
                </c:pt>
                <c:pt idx="39">
                  <c:v>176.34131739806776</c:v>
                </c:pt>
                <c:pt idx="40">
                  <c:v>176.11221678127501</c:v>
                </c:pt>
                <c:pt idx="41">
                  <c:v>175.81830503657324</c:v>
                </c:pt>
                <c:pt idx="42">
                  <c:v>175.48406593595777</c:v>
                </c:pt>
                <c:pt idx="43">
                  <c:v>175.12313116092281</c:v>
                </c:pt>
                <c:pt idx="44">
                  <c:v>174.74370396588222</c:v>
                </c:pt>
                <c:pt idx="45">
                  <c:v>174.35102565652886</c:v>
                </c:pt>
                <c:pt idx="46">
                  <c:v>173.94860921001367</c:v>
                </c:pt>
                <c:pt idx="47">
                  <c:v>173.53890366605023</c:v>
                </c:pt>
                <c:pt idx="48">
                  <c:v>173.12367382636313</c:v>
                </c:pt>
                <c:pt idx="49">
                  <c:v>172.70422808847206</c:v>
                </c:pt>
                <c:pt idx="50">
                  <c:v>172.28156084241169</c:v>
                </c:pt>
                <c:pt idx="51">
                  <c:v>171.85644460481575</c:v>
                </c:pt>
                <c:pt idx="52">
                  <c:v>171.42949143449283</c:v>
                </c:pt>
                <c:pt idx="53">
                  <c:v>171.00119494581011</c:v>
                </c:pt>
                <c:pt idx="54">
                  <c:v>170.57195971031712</c:v>
                </c:pt>
                <c:pt idx="55">
                  <c:v>166.28272293079507</c:v>
                </c:pt>
                <c:pt idx="56">
                  <c:v>162.09271945286926</c:v>
                </c:pt>
                <c:pt idx="57">
                  <c:v>158.07183182618286</c:v>
                </c:pt>
                <c:pt idx="58">
                  <c:v>154.25639956466321</c:v>
                </c:pt>
                <c:pt idx="59">
                  <c:v>150.66595286553775</c:v>
                </c:pt>
                <c:pt idx="60">
                  <c:v>147.30858365317781</c:v>
                </c:pt>
                <c:pt idx="61">
                  <c:v>144.18404608407712</c:v>
                </c:pt>
                <c:pt idx="62">
                  <c:v>141.28613651208835</c:v>
                </c:pt>
                <c:pt idx="63">
                  <c:v>138.60463350667894</c:v>
                </c:pt>
                <c:pt idx="64">
                  <c:v>136.12684557806384</c:v>
                </c:pt>
                <c:pt idx="65">
                  <c:v>133.83879424969865</c:v>
                </c:pt>
                <c:pt idx="66">
                  <c:v>131.72607628624334</c:v>
                </c:pt>
                <c:pt idx="67">
                  <c:v>129.77446076264366</c:v>
                </c:pt>
                <c:pt idx="68">
                  <c:v>127.97027856774227</c:v>
                </c:pt>
                <c:pt idx="69">
                  <c:v>126.30065671853181</c:v>
                </c:pt>
                <c:pt idx="70">
                  <c:v>124.75364126350857</c:v>
                </c:pt>
                <c:pt idx="71">
                  <c:v>123.31824326438637</c:v>
                </c:pt>
                <c:pt idx="72">
                  <c:v>121.98443385136414</c:v>
                </c:pt>
                <c:pt idx="73">
                  <c:v>112.60753755536338</c:v>
                </c:pt>
                <c:pt idx="74">
                  <c:v>107.34532416393006</c:v>
                </c:pt>
                <c:pt idx="75">
                  <c:v>104.02950603943286</c:v>
                </c:pt>
                <c:pt idx="76">
                  <c:v>101.76278058215023</c:v>
                </c:pt>
                <c:pt idx="77">
                  <c:v>100.12000671522391</c:v>
                </c:pt>
                <c:pt idx="78">
                  <c:v>98.876610011262116</c:v>
                </c:pt>
                <c:pt idx="79">
                  <c:v>97.903583632247845</c:v>
                </c:pt>
                <c:pt idx="80">
                  <c:v>97.12180827864583</c:v>
                </c:pt>
                <c:pt idx="81">
                  <c:v>96.480166127795087</c:v>
                </c:pt>
                <c:pt idx="82">
                  <c:v>95.944203994030417</c:v>
                </c:pt>
                <c:pt idx="83">
                  <c:v>95.48987451616685</c:v>
                </c:pt>
                <c:pt idx="84">
                  <c:v>95.099893521565861</c:v>
                </c:pt>
                <c:pt idx="85">
                  <c:v>94.761523904587278</c:v>
                </c:pt>
                <c:pt idx="86">
                  <c:v>94.465175555510172</c:v>
                </c:pt>
                <c:pt idx="87">
                  <c:v>94.203491671510676</c:v>
                </c:pt>
                <c:pt idx="88">
                  <c:v>93.970735427803305</c:v>
                </c:pt>
                <c:pt idx="89">
                  <c:v>93.762367963881587</c:v>
                </c:pt>
                <c:pt idx="90">
                  <c:v>93.574751592985209</c:v>
                </c:pt>
              </c:numCache>
            </c:numRef>
          </c:yVal>
          <c:smooth val="1"/>
          <c:extLst>
            <c:ext xmlns:c16="http://schemas.microsoft.com/office/drawing/2014/chart" uri="{C3380CC4-5D6E-409C-BE32-E72D297353CC}">
              <c16:uniqueId val="{00000001-625B-4534-8612-3E86CA6D61E5}"/>
            </c:ext>
          </c:extLst>
        </c:ser>
        <c:dLbls>
          <c:showLegendKey val="0"/>
          <c:showVal val="0"/>
          <c:showCatName val="0"/>
          <c:showSerName val="0"/>
          <c:showPercent val="0"/>
          <c:showBubbleSize val="0"/>
        </c:dLbls>
        <c:axId val="3"/>
        <c:axId val="4"/>
      </c:scatterChart>
      <c:valAx>
        <c:axId val="407352880"/>
        <c:scaling>
          <c:logBase val="10"/>
          <c:orientation val="minMax"/>
          <c:min val="10"/>
        </c:scaling>
        <c:delete val="0"/>
        <c:axPos val="b"/>
        <c:majorGridlines>
          <c:spPr>
            <a:ln w="3175">
              <a:solidFill>
                <a:srgbClr val="000000"/>
              </a:solidFill>
              <a:prstDash val="solid"/>
            </a:ln>
          </c:spPr>
        </c:majorGridlines>
        <c:minorGridlines>
          <c:spPr>
            <a:ln w="3175">
              <a:solidFill>
                <a:srgbClr val="000000"/>
              </a:solidFill>
              <a:prstDash val="solid"/>
            </a:ln>
          </c:spPr>
        </c:minorGridlines>
        <c:title>
          <c:tx>
            <c:rich>
              <a:bodyPr/>
              <a:lstStyle/>
              <a:p>
                <a:pPr>
                  <a:defRPr sz="800" b="1" i="0" u="none" strike="noStrike" baseline="0">
                    <a:solidFill>
                      <a:srgbClr val="000000"/>
                    </a:solidFill>
                    <a:latin typeface="Arial"/>
                    <a:ea typeface="Arial"/>
                    <a:cs typeface="Arial"/>
                  </a:defRPr>
                </a:pPr>
                <a:r>
                  <a:rPr lang="en-US"/>
                  <a:t>Frequency(Hz)</a:t>
                </a:r>
              </a:p>
            </c:rich>
          </c:tx>
          <c:layout>
            <c:manualLayout>
              <c:xMode val="edge"/>
              <c:yMode val="edge"/>
              <c:x val="0.39287862665815421"/>
              <c:y val="0.8943218695601195"/>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Arial"/>
                <a:ea typeface="Arial"/>
                <a:cs typeface="Arial"/>
              </a:defRPr>
            </a:pPr>
            <a:endParaRPr lang="en-US"/>
          </a:p>
        </c:txPr>
        <c:crossAx val="1"/>
        <c:crossesAt val="-60"/>
        <c:crossBetween val="midCat"/>
        <c:majorUnit val="10"/>
        <c:minorUnit val="10"/>
      </c:valAx>
      <c:valAx>
        <c:axId val="1"/>
        <c:scaling>
          <c:orientation val="minMax"/>
          <c:max val="60"/>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FF"/>
                    </a:solidFill>
                    <a:latin typeface="Arial"/>
                    <a:ea typeface="Arial"/>
                    <a:cs typeface="Arial"/>
                  </a:defRPr>
                </a:pPr>
                <a:r>
                  <a:rPr lang="en-US"/>
                  <a:t>Gain (dB)</a:t>
                </a:r>
              </a:p>
            </c:rich>
          </c:tx>
          <c:layout>
            <c:manualLayout>
              <c:xMode val="edge"/>
              <c:yMode val="edge"/>
              <c:x val="2.4691778392565797E-2"/>
              <c:y val="0.43266534982096311"/>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07352880"/>
        <c:crossesAt val="1"/>
        <c:crossBetween val="midCat"/>
        <c:minorUnit val="4"/>
      </c:valAx>
      <c:valAx>
        <c:axId val="3"/>
        <c:scaling>
          <c:logBase val="10"/>
          <c:orientation val="minMax"/>
        </c:scaling>
        <c:delete val="1"/>
        <c:axPos val="b"/>
        <c:numFmt formatCode="General" sourceLinked="1"/>
        <c:majorTickMark val="out"/>
        <c:minorTickMark val="none"/>
        <c:tickLblPos val="nextTo"/>
        <c:crossAx val="4"/>
        <c:crosses val="autoZero"/>
        <c:crossBetween val="midCat"/>
      </c:valAx>
      <c:valAx>
        <c:axId val="4"/>
        <c:scaling>
          <c:orientation val="minMax"/>
          <c:max val="210"/>
          <c:min val="30"/>
        </c:scaling>
        <c:delete val="0"/>
        <c:axPos val="r"/>
        <c:title>
          <c:tx>
            <c:rich>
              <a:bodyPr/>
              <a:lstStyle/>
              <a:p>
                <a:pPr>
                  <a:defRPr sz="800" b="1" i="0" u="none" strike="noStrike" baseline="0">
                    <a:solidFill>
                      <a:srgbClr val="FF0000"/>
                    </a:solidFill>
                    <a:latin typeface="Arial"/>
                    <a:ea typeface="Arial"/>
                    <a:cs typeface="Arial"/>
                  </a:defRPr>
                </a:pPr>
                <a:r>
                  <a:rPr lang="en-US"/>
                  <a:t>Phase (deg)</a:t>
                </a:r>
              </a:p>
            </c:rich>
          </c:tx>
          <c:layout>
            <c:manualLayout>
              <c:xMode val="edge"/>
              <c:yMode val="edge"/>
              <c:x val="0.934746163486321"/>
              <c:y val="0.40687718158941472"/>
            </c:manualLayout>
          </c:layout>
          <c:overlay val="0"/>
          <c:spPr>
            <a:noFill/>
            <a:ln w="25400">
              <a:noFill/>
            </a:ln>
          </c:sp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3"/>
        <c:crosses val="max"/>
        <c:crossBetween val="midCat"/>
        <c:majorUnit val="30"/>
      </c:valAx>
      <c:spPr>
        <a:solidFill>
          <a:srgbClr val="FFFFFF"/>
        </a:solidFill>
        <a:ln w="3175">
          <a:solidFill>
            <a:srgbClr val="00000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950" b="1" i="0" u="none" strike="noStrike" baseline="0">
                <a:solidFill>
                  <a:srgbClr val="000000"/>
                </a:solidFill>
                <a:latin typeface="Arial"/>
                <a:ea typeface="Arial"/>
                <a:cs typeface="Arial"/>
              </a:defRPr>
            </a:pPr>
            <a:r>
              <a:rPr lang="en-US"/>
              <a:t>IC Junction Temperature vs VIN</a:t>
            </a:r>
          </a:p>
        </c:rich>
      </c:tx>
      <c:layout>
        <c:manualLayout>
          <c:xMode val="edge"/>
          <c:yMode val="edge"/>
          <c:x val="0.2411824349770848"/>
          <c:y val="6.725009373828271E-2"/>
        </c:manualLayout>
      </c:layout>
      <c:overlay val="0"/>
      <c:spPr>
        <a:noFill/>
        <a:ln w="25400">
          <a:noFill/>
        </a:ln>
      </c:spPr>
    </c:title>
    <c:autoTitleDeleted val="0"/>
    <c:plotArea>
      <c:layout>
        <c:manualLayout>
          <c:layoutTarget val="inner"/>
          <c:xMode val="edge"/>
          <c:yMode val="edge"/>
          <c:x val="0.15488786493841561"/>
          <c:y val="0.20882868283527392"/>
          <c:w val="0.64610366517167661"/>
          <c:h val="0.5450782568920709"/>
        </c:manualLayout>
      </c:layout>
      <c:lineChart>
        <c:grouping val="standard"/>
        <c:varyColors val="0"/>
        <c:ser>
          <c:idx val="1"/>
          <c:order val="0"/>
          <c:tx>
            <c:v>Temp.</c:v>
          </c:tx>
          <c:spPr>
            <a:ln w="25400">
              <a:solidFill>
                <a:srgbClr val="FF00FF"/>
              </a:solidFill>
              <a:prstDash val="solid"/>
            </a:ln>
          </c:spPr>
          <c:marker>
            <c:symbol val="none"/>
          </c:marker>
          <c:cat>
            <c:numRef>
              <c:f>'LM(2)5117'!$T$43:$T$53</c:f>
              <c:numCache>
                <c:formatCode>General</c:formatCode>
                <c:ptCount val="11"/>
                <c:pt idx="0">
                  <c:v>48</c:v>
                </c:pt>
                <c:pt idx="1">
                  <c:v>48.96</c:v>
                </c:pt>
                <c:pt idx="2">
                  <c:v>49.92</c:v>
                </c:pt>
                <c:pt idx="3">
                  <c:v>50.88</c:v>
                </c:pt>
                <c:pt idx="4">
                  <c:v>51.84</c:v>
                </c:pt>
                <c:pt idx="5">
                  <c:v>52.8</c:v>
                </c:pt>
                <c:pt idx="6">
                  <c:v>53.76</c:v>
                </c:pt>
                <c:pt idx="7">
                  <c:v>54.72</c:v>
                </c:pt>
                <c:pt idx="8">
                  <c:v>55.68</c:v>
                </c:pt>
                <c:pt idx="9">
                  <c:v>56.64</c:v>
                </c:pt>
                <c:pt idx="10">
                  <c:v>57.6</c:v>
                </c:pt>
              </c:numCache>
            </c:numRef>
          </c:cat>
          <c:val>
            <c:numRef>
              <c:f>'LM(2)5117'!$V$43:$V$53</c:f>
              <c:numCache>
                <c:formatCode>General</c:formatCode>
                <c:ptCount val="11"/>
                <c:pt idx="0">
                  <c:v>51.927323107438013</c:v>
                </c:pt>
                <c:pt idx="1">
                  <c:v>52.272973249586769</c:v>
                </c:pt>
                <c:pt idx="2">
                  <c:v>52.618623391735539</c:v>
                </c:pt>
                <c:pt idx="3">
                  <c:v>52.964273533884295</c:v>
                </c:pt>
                <c:pt idx="4">
                  <c:v>53.309923676033058</c:v>
                </c:pt>
                <c:pt idx="5">
                  <c:v>53.655573818181821</c:v>
                </c:pt>
                <c:pt idx="6">
                  <c:v>54.001223960330577</c:v>
                </c:pt>
                <c:pt idx="7">
                  <c:v>54.346874102479333</c:v>
                </c:pt>
                <c:pt idx="8">
                  <c:v>54.692524244628096</c:v>
                </c:pt>
                <c:pt idx="9">
                  <c:v>55.038174386776859</c:v>
                </c:pt>
                <c:pt idx="10">
                  <c:v>55.383824528925622</c:v>
                </c:pt>
              </c:numCache>
            </c:numRef>
          </c:val>
          <c:smooth val="0"/>
          <c:extLst>
            <c:ext xmlns:c16="http://schemas.microsoft.com/office/drawing/2014/chart" uri="{C3380CC4-5D6E-409C-BE32-E72D297353CC}">
              <c16:uniqueId val="{00000000-9845-41D1-9262-17CBCB5A9BBD}"/>
            </c:ext>
          </c:extLst>
        </c:ser>
        <c:dLbls>
          <c:showLegendKey val="0"/>
          <c:showVal val="0"/>
          <c:showCatName val="0"/>
          <c:showSerName val="0"/>
          <c:showPercent val="0"/>
          <c:showBubbleSize val="0"/>
        </c:dLbls>
        <c:smooth val="0"/>
        <c:axId val="407351216"/>
        <c:axId val="1"/>
      </c:lineChart>
      <c:catAx>
        <c:axId val="407351216"/>
        <c:scaling>
          <c:orientation val="minMax"/>
        </c:scaling>
        <c:delete val="0"/>
        <c:axPos val="b"/>
        <c:majorGridlines>
          <c:spPr>
            <a:ln w="3175">
              <a:solidFill>
                <a:srgbClr val="000000"/>
              </a:solidFill>
              <a:prstDash val="solid"/>
            </a:ln>
          </c:spPr>
        </c:majorGridlines>
        <c:title>
          <c:tx>
            <c:rich>
              <a:bodyPr/>
              <a:lstStyle/>
              <a:p>
                <a:pPr>
                  <a:defRPr sz="850" b="0" i="0" u="none" strike="noStrike" baseline="0">
                    <a:solidFill>
                      <a:srgbClr val="000000"/>
                    </a:solidFill>
                    <a:latin typeface="Arial"/>
                    <a:ea typeface="Arial"/>
                    <a:cs typeface="Arial"/>
                  </a:defRPr>
                </a:pPr>
                <a:r>
                  <a:rPr lang="en-US"/>
                  <a:t>INPUT VOLTAGE (V) </a:t>
                </a:r>
              </a:p>
            </c:rich>
          </c:tx>
          <c:layout>
            <c:manualLayout>
              <c:xMode val="edge"/>
              <c:yMode val="edge"/>
              <c:x val="0.36288007045476933"/>
              <c:y val="0.8494724409448818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max val="200"/>
          <c:min val="0"/>
        </c:scaling>
        <c:delete val="0"/>
        <c:axPos val="l"/>
        <c:majorGridlines>
          <c:spPr>
            <a:ln w="3175">
              <a:solidFill>
                <a:srgbClr val="000000"/>
              </a:solidFill>
              <a:prstDash val="solid"/>
            </a:ln>
          </c:spPr>
        </c:majorGridlines>
        <c:title>
          <c:tx>
            <c:rich>
              <a:bodyPr/>
              <a:lstStyle/>
              <a:p>
                <a:pPr>
                  <a:defRPr sz="850" b="0" i="0" u="none" strike="noStrike" baseline="0">
                    <a:solidFill>
                      <a:srgbClr val="000000"/>
                    </a:solidFill>
                    <a:latin typeface="Arial"/>
                    <a:ea typeface="Arial"/>
                    <a:cs typeface="Arial"/>
                  </a:defRPr>
                </a:pPr>
                <a:r>
                  <a:rPr lang="en-US"/>
                  <a:t>TEMPERATURE  (ºC)</a:t>
                </a:r>
              </a:p>
            </c:rich>
          </c:tx>
          <c:layout>
            <c:manualLayout>
              <c:xMode val="edge"/>
              <c:yMode val="edge"/>
              <c:x val="4.6466310916433461E-2"/>
              <c:y val="0.3008548931383577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07351216"/>
        <c:crosses val="autoZero"/>
        <c:crossBetween val="between"/>
      </c:valAx>
      <c:spPr>
        <a:gradFill rotWithShape="0">
          <a:gsLst>
            <a:gs pos="0">
              <a:srgbClr val="CCCCFF">
                <a:gamma/>
                <a:tint val="33725"/>
                <a:invGamma/>
              </a:srgbClr>
            </a:gs>
            <a:gs pos="100000">
              <a:srgbClr val="CCCCFF"/>
            </a:gs>
          </a:gsLst>
          <a:lin ang="5400000" scaled="1"/>
        </a:gradFill>
        <a:ln w="12700">
          <a:solidFill>
            <a:srgbClr val="808080"/>
          </a:solidFill>
          <a:prstDash val="solid"/>
        </a:ln>
      </c:spPr>
    </c:plotArea>
    <c:legend>
      <c:legendPos val="r"/>
      <c:layout>
        <c:manualLayout>
          <c:xMode val="edge"/>
          <c:yMode val="edge"/>
          <c:x val="0.83002392912806422"/>
          <c:y val="0.39642932133483311"/>
          <c:w val="0.15894062911010298"/>
          <c:h val="0.13571466066741655"/>
        </c:manualLayout>
      </c:layout>
      <c:overlay val="0"/>
      <c:spPr>
        <a:solidFill>
          <a:srgbClr val="CCCC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4.png"/><Relationship Id="rId5" Type="http://schemas.openxmlformats.org/officeDocument/2006/relationships/chart" Target="../charts/chart4.xml"/><Relationship Id="rId4"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28575</xdr:colOff>
      <xdr:row>3</xdr:row>
      <xdr:rowOff>95250</xdr:rowOff>
    </xdr:from>
    <xdr:to>
      <xdr:col>14</xdr:col>
      <xdr:colOff>295275</xdr:colOff>
      <xdr:row>8</xdr:row>
      <xdr:rowOff>180975</xdr:rowOff>
    </xdr:to>
    <xdr:sp macro="" textlink="">
      <xdr:nvSpPr>
        <xdr:cNvPr id="1040" name="Text Box 1">
          <a:extLst>
            <a:ext uri="{FF2B5EF4-FFF2-40B4-BE49-F238E27FC236}">
              <a16:creationId xmlns:a16="http://schemas.microsoft.com/office/drawing/2014/main" id="{00000000-0008-0000-0000-000010040000}"/>
            </a:ext>
          </a:extLst>
        </xdr:cNvPr>
        <xdr:cNvSpPr txBox="1">
          <a:spLocks noChangeArrowheads="1"/>
        </xdr:cNvSpPr>
      </xdr:nvSpPr>
      <xdr:spPr bwMode="auto">
        <a:xfrm>
          <a:off x="219075" y="695325"/>
          <a:ext cx="8096250" cy="1085850"/>
        </a:xfrm>
        <a:prstGeom prst="rect">
          <a:avLst/>
        </a:prstGeom>
        <a:solidFill>
          <a:srgbClr val="FFFFFF"/>
        </a:solidFill>
        <a:ln w="9525">
          <a:solidFill>
            <a:srgbClr val="FF0000"/>
          </a:solidFill>
          <a:miter lim="800000"/>
          <a:headEnd/>
          <a:tailEnd/>
        </a:ln>
      </xdr:spPr>
      <xdr:txBody>
        <a:bodyPr vertOverflow="clip" wrap="square" lIns="118872" tIns="118872" rIns="91440" bIns="91440" anchor="t" upright="1"/>
        <a:lstStyle/>
        <a:p>
          <a:pPr algn="l" rtl="0">
            <a:defRPr sz="1000"/>
          </a:pPr>
          <a:r>
            <a:rPr lang="en-US" sz="1000" b="1" i="0" u="none" strike="noStrike" baseline="0">
              <a:solidFill>
                <a:srgbClr val="FF0000"/>
              </a:solidFill>
              <a:latin typeface="Arial"/>
              <a:cs typeface="Arial"/>
            </a:rPr>
            <a:t>Note:  </a:t>
          </a:r>
          <a:r>
            <a:rPr lang="en-US" sz="1000" b="0" i="0" u="none" strike="noStrike" baseline="0">
              <a:solidFill>
                <a:srgbClr val="FF0000"/>
              </a:solidFill>
              <a:latin typeface="Arial"/>
              <a:cs typeface="Arial"/>
            </a:rPr>
            <a:t>The components calculated in this worksheet are reasonable starting values for a design using the LM(2)5117. </a:t>
          </a:r>
        </a:p>
        <a:p>
          <a:pPr algn="l" rtl="0">
            <a:defRPr sz="1000"/>
          </a:pPr>
          <a:r>
            <a:rPr lang="en-US" sz="1000" b="0" i="0" u="none" strike="noStrike" baseline="0">
              <a:solidFill>
                <a:srgbClr val="FF0000"/>
              </a:solidFill>
              <a:latin typeface="Arial"/>
              <a:cs typeface="Arial"/>
            </a:rPr>
            <a:t>They are not optimized for any particular performance attribute. The most recent version of this excel file can be found in the product folder of the part at national.com. Make sure to input or select values in all of the blue shaded cells even if a value already exists in that cell. Blue shaded cells require input from user. Do not over write equations in cells, as this may result in calculation errors.</a:t>
          </a:r>
        </a:p>
        <a:p>
          <a:pPr algn="l" rtl="0">
            <a:defRPr sz="1000"/>
          </a:pPr>
          <a:r>
            <a:rPr lang="en-US" sz="1000" b="0" i="0" u="none" strike="noStrike" baseline="0">
              <a:solidFill>
                <a:srgbClr val="FF0000"/>
              </a:solidFill>
              <a:latin typeface="Arial"/>
              <a:cs typeface="Arial"/>
            </a:rPr>
            <a:t>To activate all functions, </a:t>
          </a:r>
          <a:r>
            <a:rPr lang="en-US" sz="1000" b="1" i="0" u="none" strike="noStrike" baseline="0">
              <a:solidFill>
                <a:srgbClr val="FF0000"/>
              </a:solidFill>
              <a:latin typeface="Arial"/>
              <a:cs typeface="Arial"/>
            </a:rPr>
            <a:t>Macro should be enabled and Analysis Toolpak should be added in. </a:t>
          </a:r>
          <a:endParaRPr lang="en-US"/>
        </a:p>
      </xdr:txBody>
    </xdr:sp>
    <xdr:clientData/>
  </xdr:twoCellAnchor>
  <xdr:twoCellAnchor editAs="oneCell">
    <xdr:from>
      <xdr:col>9</xdr:col>
      <xdr:colOff>143703</xdr:colOff>
      <xdr:row>196</xdr:row>
      <xdr:rowOff>124240</xdr:rowOff>
    </xdr:from>
    <xdr:to>
      <xdr:col>12</xdr:col>
      <xdr:colOff>416251</xdr:colOff>
      <xdr:row>198</xdr:row>
      <xdr:rowOff>95664</xdr:rowOff>
    </xdr:to>
    <xdr:sp macro="" textlink="">
      <xdr:nvSpPr>
        <xdr:cNvPr id="1046" name="Rectangle 22">
          <a:extLst>
            <a:ext uri="{FF2B5EF4-FFF2-40B4-BE49-F238E27FC236}">
              <a16:creationId xmlns:a16="http://schemas.microsoft.com/office/drawing/2014/main" id="{00000000-0008-0000-0000-000016040000}"/>
            </a:ext>
          </a:extLst>
        </xdr:cNvPr>
        <xdr:cNvSpPr>
          <a:spLocks noChangeArrowheads="1"/>
        </xdr:cNvSpPr>
      </xdr:nvSpPr>
      <xdr:spPr bwMode="auto">
        <a:xfrm>
          <a:off x="3995116" y="39085631"/>
          <a:ext cx="2803663" cy="368990"/>
        </a:xfrm>
        <a:prstGeom prst="rect">
          <a:avLst/>
        </a:prstGeom>
        <a:solidFill>
          <a:srgbClr val="FF99CC">
            <a:alpha val="30000"/>
          </a:srgbClr>
        </a:solidFill>
        <a:ln w="9525">
          <a:solidFill>
            <a:srgbClr val="000000"/>
          </a:solidFill>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FF0000"/>
              </a:solidFill>
              <a:latin typeface="Arial"/>
              <a:cs typeface="Arial"/>
            </a:rPr>
            <a:t>External VCC supply is required in this area</a:t>
          </a:r>
        </a:p>
      </xdr:txBody>
    </xdr:sp>
    <xdr:clientData/>
  </xdr:twoCellAnchor>
  <xdr:twoCellAnchor editAs="oneCell">
    <xdr:from>
      <xdr:col>10</xdr:col>
      <xdr:colOff>9525</xdr:colOff>
      <xdr:row>102</xdr:row>
      <xdr:rowOff>66675</xdr:rowOff>
    </xdr:from>
    <xdr:to>
      <xdr:col>11</xdr:col>
      <xdr:colOff>1323975</xdr:colOff>
      <xdr:row>104</xdr:row>
      <xdr:rowOff>76200</xdr:rowOff>
    </xdr:to>
    <xdr:pic>
      <xdr:nvPicPr>
        <xdr:cNvPr id="1605" name="Picture 35">
          <a:extLst>
            <a:ext uri="{FF2B5EF4-FFF2-40B4-BE49-F238E27FC236}">
              <a16:creationId xmlns:a16="http://schemas.microsoft.com/office/drawing/2014/main" id="{00000000-0008-0000-00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20469225"/>
          <a:ext cx="21336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19050</xdr:colOff>
      <xdr:row>84</xdr:row>
      <xdr:rowOff>85725</xdr:rowOff>
    </xdr:from>
    <xdr:to>
      <xdr:col>14</xdr:col>
      <xdr:colOff>381000</xdr:colOff>
      <xdr:row>102</xdr:row>
      <xdr:rowOff>47625</xdr:rowOff>
    </xdr:to>
    <xdr:graphicFrame macro="">
      <xdr:nvGraphicFramePr>
        <xdr:cNvPr id="1606" name="Chart 23">
          <a:extLst>
            <a:ext uri="{FF2B5EF4-FFF2-40B4-BE49-F238E27FC236}">
              <a16:creationId xmlns:a16="http://schemas.microsoft.com/office/drawing/2014/main" id="{00000000-0008-0000-0000-0000460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200025</xdr:colOff>
      <xdr:row>65</xdr:row>
      <xdr:rowOff>171450</xdr:rowOff>
    </xdr:from>
    <xdr:to>
      <xdr:col>14</xdr:col>
      <xdr:colOff>371475</xdr:colOff>
      <xdr:row>80</xdr:row>
      <xdr:rowOff>66675</xdr:rowOff>
    </xdr:to>
    <xdr:graphicFrame macro="">
      <xdr:nvGraphicFramePr>
        <xdr:cNvPr id="1607" name="Chart 24">
          <a:extLst>
            <a:ext uri="{FF2B5EF4-FFF2-40B4-BE49-F238E27FC236}">
              <a16:creationId xmlns:a16="http://schemas.microsoft.com/office/drawing/2014/main" id="{00000000-0008-0000-0000-0000470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200025</xdr:colOff>
      <xdr:row>49</xdr:row>
      <xdr:rowOff>180975</xdr:rowOff>
    </xdr:from>
    <xdr:to>
      <xdr:col>14</xdr:col>
      <xdr:colOff>219075</xdr:colOff>
      <xdr:row>63</xdr:row>
      <xdr:rowOff>152400</xdr:rowOff>
    </xdr:to>
    <xdr:graphicFrame macro="">
      <xdr:nvGraphicFramePr>
        <xdr:cNvPr id="1608" name="Chart 25">
          <a:extLst>
            <a:ext uri="{FF2B5EF4-FFF2-40B4-BE49-F238E27FC236}">
              <a16:creationId xmlns:a16="http://schemas.microsoft.com/office/drawing/2014/main" id="{00000000-0008-0000-0000-0000480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38100</xdr:colOff>
      <xdr:row>106</xdr:row>
      <xdr:rowOff>57150</xdr:rowOff>
    </xdr:from>
    <xdr:to>
      <xdr:col>14</xdr:col>
      <xdr:colOff>390525</xdr:colOff>
      <xdr:row>119</xdr:row>
      <xdr:rowOff>123825</xdr:rowOff>
    </xdr:to>
    <xdr:graphicFrame macro="">
      <xdr:nvGraphicFramePr>
        <xdr:cNvPr id="1609" name="Chart 21">
          <a:extLst>
            <a:ext uri="{FF2B5EF4-FFF2-40B4-BE49-F238E27FC236}">
              <a16:creationId xmlns:a16="http://schemas.microsoft.com/office/drawing/2014/main" id="{00000000-0008-0000-0000-0000490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9</xdr:col>
      <xdr:colOff>190500</xdr:colOff>
      <xdr:row>80</xdr:row>
      <xdr:rowOff>114300</xdr:rowOff>
    </xdr:from>
    <xdr:to>
      <xdr:col>11</xdr:col>
      <xdr:colOff>1276350</xdr:colOff>
      <xdr:row>82</xdr:row>
      <xdr:rowOff>123825</xdr:rowOff>
    </xdr:to>
    <xdr:pic>
      <xdr:nvPicPr>
        <xdr:cNvPr id="1610" name="Picture 36">
          <a:extLst>
            <a:ext uri="{FF2B5EF4-FFF2-40B4-BE49-F238E27FC236}">
              <a16:creationId xmlns:a16="http://schemas.microsoft.com/office/drawing/2014/main" id="{00000000-0008-0000-00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8600" y="16116300"/>
          <a:ext cx="215265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701418</xdr:colOff>
      <xdr:row>109</xdr:row>
      <xdr:rowOff>33827</xdr:rowOff>
    </xdr:from>
    <xdr:to>
      <xdr:col>13</xdr:col>
      <xdr:colOff>420150</xdr:colOff>
      <xdr:row>111</xdr:row>
      <xdr:rowOff>3571</xdr:rowOff>
    </xdr:to>
    <xdr:sp macro="" textlink="">
      <xdr:nvSpPr>
        <xdr:cNvPr id="17" name="Rectangle 22">
          <a:extLst>
            <a:ext uri="{FF2B5EF4-FFF2-40B4-BE49-F238E27FC236}">
              <a16:creationId xmlns:a16="http://schemas.microsoft.com/office/drawing/2014/main" id="{00000000-0008-0000-0000-000011000000}"/>
            </a:ext>
          </a:extLst>
        </xdr:cNvPr>
        <xdr:cNvSpPr>
          <a:spLocks noChangeArrowheads="1"/>
        </xdr:cNvSpPr>
      </xdr:nvSpPr>
      <xdr:spPr bwMode="auto">
        <a:xfrm>
          <a:off x="4755496" y="22067533"/>
          <a:ext cx="2802451" cy="372176"/>
        </a:xfrm>
        <a:prstGeom prst="rect">
          <a:avLst/>
        </a:prstGeom>
        <a:solidFill>
          <a:srgbClr val="FF99CC">
            <a:alpha val="30000"/>
          </a:srgbClr>
        </a:solidFill>
        <a:ln w="9525">
          <a:solidFill>
            <a:srgbClr val="000000"/>
          </a:solidFill>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FF0000"/>
              </a:solidFill>
              <a:latin typeface="Arial"/>
              <a:cs typeface="Arial"/>
            </a:rPr>
            <a:t>External VCC supply is required in this area</a:t>
          </a:r>
        </a:p>
      </xdr:txBody>
    </xdr:sp>
    <xdr:clientData/>
  </xdr:twoCellAnchor>
  <mc:AlternateContent xmlns:mc="http://schemas.openxmlformats.org/markup-compatibility/2006">
    <mc:Choice xmlns:a14="http://schemas.microsoft.com/office/drawing/2010/main" Requires="a14">
      <xdr:twoCellAnchor editAs="oneCell">
        <xdr:from>
          <xdr:col>10</xdr:col>
          <xdr:colOff>0</xdr:colOff>
          <xdr:row>11</xdr:row>
          <xdr:rowOff>28575</xdr:rowOff>
        </xdr:from>
        <xdr:to>
          <xdr:col>14</xdr:col>
          <xdr:colOff>238125</xdr:colOff>
          <xdr:row>23</xdr:row>
          <xdr:rowOff>190500</xdr:rowOff>
        </xdr:to>
        <xdr:sp macro="" textlink="">
          <xdr:nvSpPr>
            <xdr:cNvPr id="1039" name="Object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111</xdr:row>
          <xdr:rowOff>0</xdr:rowOff>
        </xdr:from>
        <xdr:to>
          <xdr:col>9</xdr:col>
          <xdr:colOff>19050</xdr:colOff>
          <xdr:row>112</xdr:row>
          <xdr:rowOff>9525</xdr:rowOff>
        </xdr:to>
        <xdr:sp macro="" textlink="">
          <xdr:nvSpPr>
            <xdr:cNvPr id="1041" name="ComboBox1"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609600</xdr:colOff>
          <xdr:row>120</xdr:row>
          <xdr:rowOff>57150</xdr:rowOff>
        </xdr:from>
        <xdr:to>
          <xdr:col>12</xdr:col>
          <xdr:colOff>485775</xdr:colOff>
          <xdr:row>121</xdr:row>
          <xdr:rowOff>152400</xdr:rowOff>
        </xdr:to>
        <xdr:sp macro="" textlink="">
          <xdr:nvSpPr>
            <xdr:cNvPr id="1043" name="CommandButton1"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1.xml"/><Relationship Id="rId2" Type="http://schemas.openxmlformats.org/officeDocument/2006/relationships/printerSettings" Target="../printerSettings/printerSettings1.bin"/><Relationship Id="rId1" Type="http://schemas.openxmlformats.org/officeDocument/2006/relationships/hyperlink" Target="http://webench.national.com/" TargetMode="External"/><Relationship Id="rId6" Type="http://schemas.openxmlformats.org/officeDocument/2006/relationships/image" Target="../media/image1.emf"/><Relationship Id="rId11" Type="http://schemas.openxmlformats.org/officeDocument/2006/relationships/comments" Target="../comments1.xml"/><Relationship Id="rId5" Type="http://schemas.openxmlformats.org/officeDocument/2006/relationships/oleObject" Target="../embeddings/oleObject1.bin"/><Relationship Id="rId10" Type="http://schemas.openxmlformats.org/officeDocument/2006/relationships/image" Target="../media/image3.emf"/><Relationship Id="rId4" Type="http://schemas.openxmlformats.org/officeDocument/2006/relationships/vmlDrawing" Target="../drawings/vmlDrawing1.vml"/><Relationship Id="rId9"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AC172"/>
  <sheetViews>
    <sheetView tabSelected="1" topLeftCell="A85" zoomScaleNormal="85" zoomScaleSheetLayoutView="115" workbookViewId="0">
      <selection activeCell="P43" sqref="P43"/>
    </sheetView>
  </sheetViews>
  <sheetFormatPr defaultRowHeight="15.75" customHeight="1" x14ac:dyDescent="0.2"/>
  <cols>
    <col min="1" max="1" width="2.85546875" style="3" customWidth="1"/>
    <col min="2" max="2" width="9.140625" style="3"/>
    <col min="3" max="6" width="5.7109375" style="3" customWidth="1"/>
    <col min="7" max="7" width="9.140625" style="4"/>
    <col min="8" max="8" width="1.85546875" style="3" customWidth="1"/>
    <col min="9" max="9" width="11.85546875" style="4" customWidth="1"/>
    <col min="10" max="10" width="3.7109375" style="3" customWidth="1"/>
    <col min="11" max="11" width="12.28515625" style="3" bestFit="1" customWidth="1"/>
    <col min="12" max="12" width="22" style="3" bestFit="1" customWidth="1"/>
    <col min="13" max="13" width="12" style="3" bestFit="1" customWidth="1"/>
    <col min="14" max="14" width="13.140625" style="3" customWidth="1"/>
    <col min="15" max="15" width="8.85546875" style="3" customWidth="1"/>
    <col min="16" max="22" width="9.140625" style="3"/>
    <col min="23" max="23" width="10.42578125" style="3" customWidth="1"/>
    <col min="24" max="24" width="9.28515625" style="3" bestFit="1" customWidth="1"/>
    <col min="25" max="16384" width="9.140625" style="3"/>
  </cols>
  <sheetData>
    <row r="2" spans="2:23" ht="15.75" customHeight="1" x14ac:dyDescent="0.25">
      <c r="B2" s="2" t="s">
        <v>0</v>
      </c>
    </row>
    <row r="3" spans="2:23" ht="15.75" customHeight="1" x14ac:dyDescent="0.2">
      <c r="B3" s="5" t="s">
        <v>136</v>
      </c>
    </row>
    <row r="11" spans="2:23" ht="15.75" customHeight="1" x14ac:dyDescent="0.2">
      <c r="K11" s="6" t="s">
        <v>125</v>
      </c>
    </row>
    <row r="12" spans="2:23" ht="15.75" customHeight="1" x14ac:dyDescent="0.2">
      <c r="B12" s="7" t="s">
        <v>1</v>
      </c>
    </row>
    <row r="13" spans="2:23" ht="15.75" customHeight="1" x14ac:dyDescent="0.3">
      <c r="G13" s="4" t="s">
        <v>140</v>
      </c>
      <c r="I13" s="8">
        <v>57.6</v>
      </c>
      <c r="V13" s="3" t="s">
        <v>23</v>
      </c>
      <c r="W13" s="9">
        <v>4.4000000000000002E-7</v>
      </c>
    </row>
    <row r="14" spans="2:23" ht="15.75" customHeight="1" x14ac:dyDescent="0.3">
      <c r="G14" s="4" t="s">
        <v>141</v>
      </c>
      <c r="I14" s="8">
        <v>48</v>
      </c>
      <c r="V14" s="3" t="s">
        <v>24</v>
      </c>
      <c r="W14" s="9">
        <v>9.9999999999999995E-8</v>
      </c>
    </row>
    <row r="15" spans="2:23" ht="15.75" customHeight="1" x14ac:dyDescent="0.3">
      <c r="G15" s="4" t="s">
        <v>142</v>
      </c>
      <c r="I15" s="8">
        <v>36</v>
      </c>
      <c r="V15" s="3" t="s">
        <v>25</v>
      </c>
      <c r="W15" s="3">
        <v>0.12</v>
      </c>
    </row>
    <row r="16" spans="2:23" ht="15.75" customHeight="1" thickBot="1" x14ac:dyDescent="0.35">
      <c r="G16" s="4" t="s">
        <v>143</v>
      </c>
      <c r="I16" s="10">
        <v>2.7778</v>
      </c>
      <c r="V16" s="3" t="s">
        <v>27</v>
      </c>
      <c r="W16" s="3">
        <v>10</v>
      </c>
    </row>
    <row r="17" spans="2:23" ht="15.75" customHeight="1" thickBot="1" x14ac:dyDescent="0.25">
      <c r="G17" s="4" t="s">
        <v>2</v>
      </c>
      <c r="I17" s="11" t="str">
        <f>IF(AND(VINMIN&gt;=4.5,VINMAX&lt;=42),"LM25117",IF(AND(VINMIN&gt;=5.5,VINMAX&lt;=65),"LM5117","Out of Spec"))</f>
        <v>LM5117</v>
      </c>
      <c r="V17" s="3" t="s">
        <v>28</v>
      </c>
      <c r="W17" s="9">
        <v>2.0000000000000002E-5</v>
      </c>
    </row>
    <row r="18" spans="2:23" ht="15.75" customHeight="1" x14ac:dyDescent="0.2">
      <c r="V18" s="3" t="s">
        <v>29</v>
      </c>
      <c r="W18" s="3">
        <v>1.25</v>
      </c>
    </row>
    <row r="19" spans="2:23" ht="15.75" customHeight="1" x14ac:dyDescent="0.2">
      <c r="V19" s="3" t="s">
        <v>31</v>
      </c>
      <c r="W19" s="9">
        <v>1.0000000000000001E-5</v>
      </c>
    </row>
    <row r="20" spans="2:23" ht="15.75" customHeight="1" x14ac:dyDescent="0.2">
      <c r="B20" s="7" t="s">
        <v>3</v>
      </c>
      <c r="V20" s="3" t="s">
        <v>32</v>
      </c>
      <c r="W20" s="9">
        <v>1.0000000000000001E-5</v>
      </c>
    </row>
    <row r="21" spans="2:23" ht="15.75" customHeight="1" x14ac:dyDescent="0.3">
      <c r="B21" s="12"/>
      <c r="G21" s="4" t="s">
        <v>144</v>
      </c>
      <c r="I21" s="8">
        <v>400</v>
      </c>
      <c r="V21" s="3" t="s">
        <v>33</v>
      </c>
      <c r="W21" s="3">
        <v>1.25</v>
      </c>
    </row>
    <row r="22" spans="2:23" ht="15.75" customHeight="1" x14ac:dyDescent="0.3">
      <c r="B22" s="12"/>
      <c r="G22" s="4" t="s">
        <v>145</v>
      </c>
      <c r="I22" s="13">
        <f>IF((1-VOUT/VINMIN)/(FSW*10^3) &lt; mintoff, "Out of Spec", VOUT/VINMIN)</f>
        <v>0.75</v>
      </c>
      <c r="W22" s="3" t="s">
        <v>44</v>
      </c>
    </row>
    <row r="23" spans="2:23" ht="15.75" customHeight="1" thickBot="1" x14ac:dyDescent="0.35">
      <c r="B23" s="12"/>
      <c r="G23" s="4" t="s">
        <v>146</v>
      </c>
      <c r="I23" s="14">
        <f>IF(VOUT/VINMAX/(FSW*10^3)&lt;minton, "Out of Spec", VOUT/VINMAX)</f>
        <v>0.625</v>
      </c>
      <c r="W23" s="3" t="s">
        <v>45</v>
      </c>
    </row>
    <row r="24" spans="2:23" ht="15.75" customHeight="1" thickBot="1" x14ac:dyDescent="0.35">
      <c r="G24" s="4" t="s">
        <v>147</v>
      </c>
      <c r="I24" s="15">
        <f>R_E192((5.2*10^9/(FSW*10^3)-948)/1000)</f>
        <v>12.1</v>
      </c>
      <c r="V24" s="3" t="s">
        <v>34</v>
      </c>
      <c r="W24" s="3">
        <f>IF(IC="LM5117",5.5,4.5)</f>
        <v>5.5</v>
      </c>
    </row>
    <row r="25" spans="2:23" ht="15.75" customHeight="1" thickBot="1" x14ac:dyDescent="0.25">
      <c r="K25" s="6" t="s">
        <v>43</v>
      </c>
      <c r="V25" s="3" t="s">
        <v>35</v>
      </c>
      <c r="W25" s="3">
        <v>30</v>
      </c>
    </row>
    <row r="26" spans="2:23" ht="15.75" customHeight="1" thickBot="1" x14ac:dyDescent="0.25">
      <c r="K26" s="16" t="s">
        <v>68</v>
      </c>
      <c r="L26" s="17" t="s">
        <v>65</v>
      </c>
      <c r="M26" s="17" t="s">
        <v>66</v>
      </c>
      <c r="N26" s="18" t="s">
        <v>67</v>
      </c>
      <c r="V26" s="3" t="s">
        <v>36</v>
      </c>
      <c r="W26" s="3">
        <f>COUT*10^-6*VOUT/(IOUT*0.5)*10^3</f>
        <v>13.322773417812657</v>
      </c>
    </row>
    <row r="27" spans="2:23" ht="15.75" customHeight="1" x14ac:dyDescent="0.2">
      <c r="B27" s="7" t="s">
        <v>4</v>
      </c>
      <c r="K27" s="19" t="s">
        <v>69</v>
      </c>
      <c r="L27" s="20" t="s">
        <v>88</v>
      </c>
      <c r="M27" s="20" t="str">
        <f>IC</f>
        <v>LM5117</v>
      </c>
      <c r="N27" s="21"/>
      <c r="V27" s="3" t="s">
        <v>37</v>
      </c>
      <c r="W27" s="3">
        <f>(256/(FSW*1000)+TSS*10^-3)*(IPEAK^2*RS/PRS-1)*10^3</f>
        <v>6376.227305954907</v>
      </c>
    </row>
    <row r="28" spans="2:23" ht="15.75" customHeight="1" x14ac:dyDescent="0.25">
      <c r="B28" s="12"/>
      <c r="G28" s="4" t="s">
        <v>26</v>
      </c>
      <c r="I28" s="10">
        <v>20</v>
      </c>
      <c r="K28" s="22" t="s">
        <v>148</v>
      </c>
      <c r="L28" s="23" t="s">
        <v>84</v>
      </c>
      <c r="M28" s="24">
        <f>CIN</f>
        <v>23.1</v>
      </c>
      <c r="N28" s="25">
        <f>VINMAX</f>
        <v>57.6</v>
      </c>
      <c r="V28" s="3" t="s">
        <v>38</v>
      </c>
      <c r="W28" s="3">
        <f>1/2/3.14/RESR/(COUT*10^-6)</f>
        <v>15489.851049592306</v>
      </c>
    </row>
    <row r="29" spans="2:23" ht="15.75" customHeight="1" thickBot="1" x14ac:dyDescent="0.35">
      <c r="B29" s="12"/>
      <c r="G29" s="4" t="s">
        <v>149</v>
      </c>
      <c r="I29" s="26">
        <f>(VINMAX-VOUT)*VOUT/IOUT/VINMAX/(FSW*10^3)/(RR/100)*10^6</f>
        <v>60.749514003887974</v>
      </c>
      <c r="K29" s="22" t="s">
        <v>150</v>
      </c>
      <c r="L29" s="23" t="s">
        <v>77</v>
      </c>
      <c r="M29" s="24">
        <f>COUT1</f>
        <v>470</v>
      </c>
      <c r="N29" s="25">
        <f>VOUT</f>
        <v>36</v>
      </c>
      <c r="V29" s="3" t="s">
        <v>46</v>
      </c>
      <c r="W29" s="3">
        <f>1/2/3.14/(VOUT/IOUT*COUT*10^-6)+1/2/3.14/(LO*10^-6*COUT*10^-6*FSW*1000/(K-0.5))</f>
        <v>30.150190039930283</v>
      </c>
    </row>
    <row r="30" spans="2:23" ht="15.75" customHeight="1" thickBot="1" x14ac:dyDescent="0.35">
      <c r="B30" s="12"/>
      <c r="G30" s="4" t="s">
        <v>151</v>
      </c>
      <c r="I30" s="27">
        <v>62</v>
      </c>
      <c r="K30" s="22" t="s">
        <v>152</v>
      </c>
      <c r="L30" s="23" t="s">
        <v>77</v>
      </c>
      <c r="M30" s="24">
        <f>COUT2</f>
        <v>44</v>
      </c>
      <c r="N30" s="25">
        <f>VOUT</f>
        <v>36</v>
      </c>
      <c r="V30" s="3" t="s">
        <v>47</v>
      </c>
      <c r="W30" s="3">
        <f>FSW*1000</f>
        <v>400000</v>
      </c>
    </row>
    <row r="31" spans="2:23" ht="15.75" customHeight="1" x14ac:dyDescent="0.3">
      <c r="G31" s="4" t="s">
        <v>153</v>
      </c>
      <c r="I31" s="28">
        <f>(VINMAX-VOUT)*VOUT/(LO*10^-6)/VINMAX/(FSW*10^3)/2</f>
        <v>0.27217741935483869</v>
      </c>
      <c r="K31" s="22" t="s">
        <v>154</v>
      </c>
      <c r="L31" s="23" t="s">
        <v>75</v>
      </c>
      <c r="M31" s="29">
        <f>CVCC</f>
        <v>1</v>
      </c>
      <c r="N31" s="25">
        <f>MAX(10,EXTVCC)</f>
        <v>10</v>
      </c>
      <c r="V31" s="3" t="s">
        <v>48</v>
      </c>
      <c r="W31" s="3">
        <f>1/3.14/(K-0.5)</f>
        <v>0.63694267515923564</v>
      </c>
    </row>
    <row r="32" spans="2:23" ht="15.75" customHeight="1" x14ac:dyDescent="0.3">
      <c r="G32" s="4" t="s">
        <v>155</v>
      </c>
      <c r="I32" s="30">
        <f>(VINMIN-VOUT)*VOUT/(LO*10^-6)/VINMIN/(FSW*10^3)/2</f>
        <v>0.18145161290322578</v>
      </c>
      <c r="K32" s="22" t="s">
        <v>156</v>
      </c>
      <c r="L32" s="23" t="s">
        <v>76</v>
      </c>
      <c r="M32" s="29">
        <f>CHB</f>
        <v>1</v>
      </c>
      <c r="N32" s="25">
        <f>MAX(8.5,EXTVCC)</f>
        <v>8.5</v>
      </c>
      <c r="V32" s="3" t="s">
        <v>49</v>
      </c>
      <c r="W32" s="3">
        <f>FSW/4/Q*(SQRT(1+4*Q^2)-1)</f>
        <v>97.261676231397487</v>
      </c>
    </row>
    <row r="33" spans="2:23" ht="15.75" customHeight="1" x14ac:dyDescent="0.25">
      <c r="I33" s="31"/>
      <c r="K33" s="22" t="s">
        <v>157</v>
      </c>
      <c r="L33" s="23" t="s">
        <v>73</v>
      </c>
      <c r="M33" s="32">
        <f>CSS</f>
        <v>10</v>
      </c>
      <c r="N33" s="25">
        <v>6.3</v>
      </c>
      <c r="V33" s="3" t="s">
        <v>50</v>
      </c>
      <c r="W33" s="3">
        <f>1/2/3.14/SQRT(LO*10^-6*COUT*10^-6)</f>
        <v>891.99609273995156</v>
      </c>
    </row>
    <row r="34" spans="2:23" ht="15.75" customHeight="1" x14ac:dyDescent="0.25">
      <c r="I34" s="33"/>
      <c r="K34" s="22" t="s">
        <v>158</v>
      </c>
      <c r="L34" s="23" t="s">
        <v>74</v>
      </c>
      <c r="M34" s="32">
        <f>CRES</f>
        <v>100</v>
      </c>
      <c r="N34" s="25">
        <v>6.3</v>
      </c>
      <c r="V34" s="3" t="s">
        <v>51</v>
      </c>
      <c r="W34" s="9">
        <v>4.4999999999999999E-4</v>
      </c>
    </row>
    <row r="35" spans="2:23" ht="15.75" customHeight="1" x14ac:dyDescent="0.25">
      <c r="B35" s="7" t="s">
        <v>5</v>
      </c>
      <c r="K35" s="22" t="s">
        <v>159</v>
      </c>
      <c r="L35" s="23" t="s">
        <v>71</v>
      </c>
      <c r="M35" s="34">
        <f>CRAMP</f>
        <v>1000</v>
      </c>
      <c r="N35" s="25">
        <v>16</v>
      </c>
      <c r="V35" s="3" t="s">
        <v>52</v>
      </c>
      <c r="W35" s="3">
        <v>1.25</v>
      </c>
    </row>
    <row r="36" spans="2:23" ht="15.75" customHeight="1" x14ac:dyDescent="0.3">
      <c r="G36" s="4" t="s">
        <v>160</v>
      </c>
      <c r="I36" s="8">
        <v>30</v>
      </c>
      <c r="K36" s="22" t="s">
        <v>161</v>
      </c>
      <c r="L36" s="23" t="s">
        <v>72</v>
      </c>
      <c r="M36" s="35">
        <f>CCOMP/1000</f>
        <v>345</v>
      </c>
      <c r="N36" s="25">
        <v>6.3</v>
      </c>
      <c r="V36" s="3" t="s">
        <v>53</v>
      </c>
      <c r="W36" s="9">
        <v>20000</v>
      </c>
    </row>
    <row r="37" spans="2:23" ht="15.75" customHeight="1" x14ac:dyDescent="0.25">
      <c r="G37" s="4" t="s">
        <v>6</v>
      </c>
      <c r="I37" s="10">
        <v>1</v>
      </c>
      <c r="K37" s="22" t="s">
        <v>162</v>
      </c>
      <c r="L37" s="23" t="s">
        <v>72</v>
      </c>
      <c r="M37" s="34">
        <f>CHF</f>
        <v>330</v>
      </c>
      <c r="N37" s="25">
        <v>6.3</v>
      </c>
      <c r="V37" s="3" t="s">
        <v>54</v>
      </c>
      <c r="W37" s="9">
        <v>3.8E-3</v>
      </c>
    </row>
    <row r="38" spans="2:23" ht="15.75" customHeight="1" thickBot="1" x14ac:dyDescent="0.35">
      <c r="G38" s="4" t="s">
        <v>163</v>
      </c>
      <c r="I38" s="36">
        <f>vcsth/(IOUT*(1+CL_p/100)+VOUT/(FSW*10^3)/(LO*10^-6)*(K-(VINMIN-VOUT)/2/VINMIN))</f>
        <v>2.4583608522159017E-2</v>
      </c>
      <c r="K38" s="22" t="s">
        <v>164</v>
      </c>
      <c r="L38" s="23" t="s">
        <v>70</v>
      </c>
      <c r="M38" s="37">
        <f>CFT</f>
        <v>70.000000000000014</v>
      </c>
      <c r="N38" s="25">
        <v>16</v>
      </c>
      <c r="V38" s="3" t="s">
        <v>55</v>
      </c>
      <c r="W38" s="3">
        <v>40</v>
      </c>
    </row>
    <row r="39" spans="2:23" ht="15.75" customHeight="1" thickBot="1" x14ac:dyDescent="0.35">
      <c r="G39" s="4" t="s">
        <v>165</v>
      </c>
      <c r="I39" s="38">
        <v>2.4E-2</v>
      </c>
      <c r="K39" s="22" t="s">
        <v>166</v>
      </c>
      <c r="L39" s="23" t="s">
        <v>78</v>
      </c>
      <c r="M39" s="39">
        <f>_RUV1</f>
        <v>9.8039215686274499</v>
      </c>
      <c r="N39" s="40" t="s">
        <v>90</v>
      </c>
      <c r="V39" s="3" t="s">
        <v>56</v>
      </c>
      <c r="W39" s="3">
        <v>42</v>
      </c>
    </row>
    <row r="40" spans="2:23" ht="15.75" customHeight="1" x14ac:dyDescent="0.3">
      <c r="G40" s="4" t="s">
        <v>167</v>
      </c>
      <c r="I40" s="28">
        <f>vcsth/RS+(VINMIN-VOUT)*VOUT/2/(LO*10^-6)/VINMIN/(FSW*10^3)-VOUT*K/(LO*10^-6)/(FSW*10^3)</f>
        <v>3.7298387096774199</v>
      </c>
      <c r="K40" s="22" t="s">
        <v>168</v>
      </c>
      <c r="L40" s="23" t="s">
        <v>78</v>
      </c>
      <c r="M40" s="41">
        <f>_RUV2</f>
        <v>99.999999999999986</v>
      </c>
      <c r="N40" s="40" t="str">
        <f>IF(AND(VINMAX^2/(_RUV2*1000)&lt;0.05,VINMAX&lt;=50),"1/16W","1/8W")</f>
        <v>1/8W</v>
      </c>
      <c r="V40" s="3" t="s">
        <v>89</v>
      </c>
      <c r="W40" s="3">
        <f>FSW/100</f>
        <v>4</v>
      </c>
    </row>
    <row r="41" spans="2:23" ht="15.75" customHeight="1" x14ac:dyDescent="0.3">
      <c r="G41" s="4" t="s">
        <v>169</v>
      </c>
      <c r="I41" s="30">
        <f>vcsth/RS+(VINMAX-VOUT)*VOUT/2/(LO*10^-6)/VINMAX/(FSW*10^3)-VOUT*K/(LO*10^-6)/(FSW*10^3)</f>
        <v>3.8205645161290329</v>
      </c>
      <c r="K41" s="22" t="s">
        <v>170</v>
      </c>
      <c r="L41" s="23" t="s">
        <v>80</v>
      </c>
      <c r="M41" s="42">
        <f>_RFB1</f>
        <v>113.40909090909091</v>
      </c>
      <c r="N41" s="40" t="str">
        <f>IF((0.8^2/(_RFB1*1000))&lt;0.05,"1/16W","1/8W")</f>
        <v>1/16W</v>
      </c>
      <c r="V41" s="3" t="s">
        <v>132</v>
      </c>
      <c r="W41" s="3">
        <f>RESR/10</f>
        <v>2E-3</v>
      </c>
    </row>
    <row r="42" spans="2:23" ht="15.75" customHeight="1" x14ac:dyDescent="0.25">
      <c r="G42" s="4" t="s">
        <v>135</v>
      </c>
      <c r="I42" s="30">
        <f>vcsth/RS+VINMAX*minton/(LO*10^-6)</f>
        <v>5.0929032258064515</v>
      </c>
      <c r="K42" s="22" t="s">
        <v>171</v>
      </c>
      <c r="L42" s="23" t="s">
        <v>80</v>
      </c>
      <c r="M42" s="42">
        <f>_RFB2</f>
        <v>4990</v>
      </c>
      <c r="N42" s="40" t="str">
        <f>IF(((VOUT-0.8)^2/(_RFB2*1000))&lt;0.05,"1/16W","1/8W")</f>
        <v>1/16W</v>
      </c>
      <c r="T42" s="3" t="s">
        <v>61</v>
      </c>
      <c r="U42" s="3" t="s">
        <v>62</v>
      </c>
      <c r="V42" s="3" t="s">
        <v>63</v>
      </c>
      <c r="W42" s="3" t="s">
        <v>64</v>
      </c>
    </row>
    <row r="43" spans="2:23" ht="15.75" customHeight="1" x14ac:dyDescent="0.3">
      <c r="G43" s="4" t="s">
        <v>172</v>
      </c>
      <c r="I43" s="13">
        <f>(1-VOUT/VINMAX)*IOUT^2*RS</f>
        <v>6.9445555560000011E-2</v>
      </c>
      <c r="K43" s="22" t="s">
        <v>173</v>
      </c>
      <c r="L43" s="23" t="s">
        <v>83</v>
      </c>
      <c r="M43" s="43">
        <f>RS</f>
        <v>2.4E-2</v>
      </c>
      <c r="N43" s="44">
        <f>PRS</f>
        <v>6.9445555560000011E-2</v>
      </c>
      <c r="T43" s="3">
        <f>VINMIN</f>
        <v>48</v>
      </c>
      <c r="U43" s="3">
        <f t="shared" ref="U43:U53" si="0">IF(EXT="Yes",T43*(Ivin_oper+vrt/(RT*1000))+EXTVCC*(7.6/rvcc+ivcc+7.6*FSW*1000*(CGS_H+CGS_L)*10^-12+T43*FSW*1000*(CGD_H+CGD_L)*10^-12),T43*(Ivin_oper+vrt/(RT*1000)+7.6/rvcc+ivcc+7.6*FSW*1000*(CGS_H+CGS_L)*10^-12+T43*FSW*1000*(CGD_H+CGD_L)*10^-12))</f>
        <v>0.54818307768595032</v>
      </c>
      <c r="V43" s="3">
        <f t="shared" ref="V43:V53" si="1">TAMB+U43*theta_tssop</f>
        <v>51.927323107438013</v>
      </c>
      <c r="W43" s="3">
        <f t="shared" ref="W43:W53" si="2">TAMB+U43*theta_llp</f>
        <v>53.02368926280991</v>
      </c>
    </row>
    <row r="44" spans="2:23" ht="15.75" customHeight="1" x14ac:dyDescent="0.25">
      <c r="G44" s="3"/>
      <c r="I44" s="3"/>
      <c r="K44" s="22" t="s">
        <v>174</v>
      </c>
      <c r="L44" s="23" t="s">
        <v>82</v>
      </c>
      <c r="M44" s="41">
        <f>RT</f>
        <v>12.1</v>
      </c>
      <c r="N44" s="40" t="s">
        <v>90</v>
      </c>
      <c r="T44" s="3">
        <f>VINMIN+1*(VINMAX-VINMIN)/10</f>
        <v>48.96</v>
      </c>
      <c r="U44" s="3">
        <f t="shared" si="0"/>
        <v>0.55682433123966935</v>
      </c>
      <c r="V44" s="3">
        <f t="shared" si="1"/>
        <v>52.272973249586769</v>
      </c>
      <c r="W44" s="3">
        <f t="shared" si="2"/>
        <v>53.386621912066111</v>
      </c>
    </row>
    <row r="45" spans="2:23" ht="15.75" customHeight="1" x14ac:dyDescent="0.25">
      <c r="G45" s="3"/>
      <c r="I45" s="3"/>
      <c r="K45" s="22" t="s">
        <v>175</v>
      </c>
      <c r="L45" s="23" t="s">
        <v>79</v>
      </c>
      <c r="M45" s="45">
        <f>RRAMP</f>
        <v>258.33333333333337</v>
      </c>
      <c r="N45" s="40" t="str">
        <f>IF(VINMAX&gt;50,"1/8W","1/16W")</f>
        <v>1/8W</v>
      </c>
      <c r="T45" s="3">
        <f>VINMIN+2*(VINMAX-VINMIN)/10</f>
        <v>49.92</v>
      </c>
      <c r="U45" s="3">
        <f t="shared" si="0"/>
        <v>0.56546558479338838</v>
      </c>
      <c r="V45" s="3">
        <f t="shared" si="1"/>
        <v>52.618623391735539</v>
      </c>
      <c r="W45" s="3">
        <f t="shared" si="2"/>
        <v>53.749554561322313</v>
      </c>
    </row>
    <row r="46" spans="2:23" ht="15.75" customHeight="1" thickBot="1" x14ac:dyDescent="0.3">
      <c r="B46" s="7" t="s">
        <v>7</v>
      </c>
      <c r="K46" s="22" t="s">
        <v>176</v>
      </c>
      <c r="L46" s="23" t="s">
        <v>81</v>
      </c>
      <c r="M46" s="39">
        <f>RCOMP/1000</f>
        <v>19.3</v>
      </c>
      <c r="N46" s="40" t="s">
        <v>90</v>
      </c>
      <c r="T46" s="3">
        <f>VINMIN+3*(VINMAX-VINMIN)/10</f>
        <v>50.88</v>
      </c>
      <c r="U46" s="3">
        <f t="shared" si="0"/>
        <v>0.57410683834710741</v>
      </c>
      <c r="V46" s="3">
        <f t="shared" si="1"/>
        <v>52.964273533884295</v>
      </c>
      <c r="W46" s="3">
        <f t="shared" si="2"/>
        <v>54.112487210578507</v>
      </c>
    </row>
    <row r="47" spans="2:23" ht="15.75" customHeight="1" thickBot="1" x14ac:dyDescent="0.35">
      <c r="G47" s="4" t="s">
        <v>177</v>
      </c>
      <c r="I47" s="38">
        <v>1000</v>
      </c>
      <c r="K47" s="22" t="s">
        <v>178</v>
      </c>
      <c r="L47" s="23" t="s">
        <v>85</v>
      </c>
      <c r="M47" s="46">
        <f>LO</f>
        <v>62</v>
      </c>
      <c r="N47" s="40" t="str">
        <f>INT(IMAX_VINMAX)&amp;"A~"&amp;INT(IPEAK)&amp;"A"</f>
        <v>3A~5A</v>
      </c>
      <c r="T47" s="3">
        <f>VINMIN+4*(VINMAX-VINMIN)/10</f>
        <v>51.84</v>
      </c>
      <c r="U47" s="3">
        <f t="shared" si="0"/>
        <v>0.58274809190082644</v>
      </c>
      <c r="V47" s="3">
        <f t="shared" si="1"/>
        <v>53.309923676033058</v>
      </c>
      <c r="W47" s="3">
        <f t="shared" si="2"/>
        <v>54.475419859834709</v>
      </c>
    </row>
    <row r="48" spans="2:23" ht="15.75" customHeight="1" thickBot="1" x14ac:dyDescent="0.35">
      <c r="G48" s="4" t="s">
        <v>179</v>
      </c>
      <c r="I48" s="15">
        <f>LO*10^-6/(K*CRAMP*10^-12*RS*as)/1000</f>
        <v>258.33333333333337</v>
      </c>
      <c r="K48" s="22" t="s">
        <v>180</v>
      </c>
      <c r="L48" s="23" t="s">
        <v>86</v>
      </c>
      <c r="M48" s="23" t="s">
        <v>134</v>
      </c>
      <c r="N48" s="40" t="s">
        <v>133</v>
      </c>
      <c r="T48" s="3">
        <f>VINMIN+5*(VINMAX-VINMIN)/10</f>
        <v>52.8</v>
      </c>
      <c r="U48" s="3">
        <f t="shared" si="0"/>
        <v>0.59138934545454547</v>
      </c>
      <c r="V48" s="3">
        <f t="shared" si="1"/>
        <v>53.655573818181821</v>
      </c>
      <c r="W48" s="3">
        <f t="shared" si="2"/>
        <v>54.83835250909091</v>
      </c>
    </row>
    <row r="49" spans="2:24" ht="15.75" customHeight="1" thickBot="1" x14ac:dyDescent="0.3">
      <c r="K49" s="47" t="s">
        <v>181</v>
      </c>
      <c r="L49" s="48" t="s">
        <v>87</v>
      </c>
      <c r="M49" s="48"/>
      <c r="N49" s="49">
        <f>VINMAX</f>
        <v>57.6</v>
      </c>
      <c r="T49" s="3">
        <f>VINMIN+6*(VINMAX-VINMIN)/10</f>
        <v>53.76</v>
      </c>
      <c r="U49" s="3">
        <f t="shared" si="0"/>
        <v>0.60003059900826439</v>
      </c>
      <c r="V49" s="3">
        <f t="shared" si="1"/>
        <v>54.001223960330577</v>
      </c>
      <c r="W49" s="3">
        <f t="shared" si="2"/>
        <v>55.201285158347105</v>
      </c>
    </row>
    <row r="50" spans="2:24" ht="15.75" customHeight="1" x14ac:dyDescent="0.2">
      <c r="K50" s="6" t="s">
        <v>126</v>
      </c>
      <c r="T50" s="3">
        <f>VINMIN+7*(VINMAX-VINMIN)/10</f>
        <v>54.72</v>
      </c>
      <c r="U50" s="3">
        <f t="shared" si="0"/>
        <v>0.60867185256198342</v>
      </c>
      <c r="V50" s="3">
        <f t="shared" si="1"/>
        <v>54.346874102479333</v>
      </c>
      <c r="W50" s="3">
        <f t="shared" si="2"/>
        <v>55.564217807603299</v>
      </c>
    </row>
    <row r="51" spans="2:24" ht="15.75" customHeight="1" x14ac:dyDescent="0.2">
      <c r="B51" s="7" t="s">
        <v>8</v>
      </c>
      <c r="T51" s="3">
        <f>VINMIN+8*(VINMAX-VINMIN)/10</f>
        <v>55.68</v>
      </c>
      <c r="U51" s="3">
        <f t="shared" si="0"/>
        <v>0.61731310611570245</v>
      </c>
      <c r="V51" s="3">
        <f t="shared" si="1"/>
        <v>54.692524244628096</v>
      </c>
      <c r="W51" s="3">
        <f t="shared" si="2"/>
        <v>55.927150456859508</v>
      </c>
    </row>
    <row r="52" spans="2:24" ht="15.75" customHeight="1" x14ac:dyDescent="0.3">
      <c r="G52" s="4" t="s">
        <v>182</v>
      </c>
      <c r="I52" s="8">
        <v>14</v>
      </c>
      <c r="T52" s="3">
        <f>VINMIN+9*(VINMAX-VINMIN)/10</f>
        <v>56.64</v>
      </c>
      <c r="U52" s="3">
        <f t="shared" si="0"/>
        <v>0.62595435966942148</v>
      </c>
      <c r="V52" s="3">
        <f t="shared" si="1"/>
        <v>55.038174386776859</v>
      </c>
      <c r="W52" s="3">
        <f t="shared" si="2"/>
        <v>56.290083106115702</v>
      </c>
    </row>
    <row r="53" spans="2:24" ht="15.75" customHeight="1" thickBot="1" x14ac:dyDescent="0.35">
      <c r="G53" s="4" t="s">
        <v>183</v>
      </c>
      <c r="I53" s="10">
        <v>2</v>
      </c>
      <c r="T53" s="3">
        <f>VINMIN+10*(VINMAX-VINMIN)/10</f>
        <v>57.6</v>
      </c>
      <c r="U53" s="3">
        <f t="shared" si="0"/>
        <v>0.63459561322314051</v>
      </c>
      <c r="V53" s="3">
        <f t="shared" si="1"/>
        <v>55.383824528925622</v>
      </c>
      <c r="W53" s="3">
        <f t="shared" si="2"/>
        <v>56.653015755371896</v>
      </c>
    </row>
    <row r="54" spans="2:24" ht="15.75" customHeight="1" thickBot="1" x14ac:dyDescent="0.35">
      <c r="G54" s="4" t="s">
        <v>184</v>
      </c>
      <c r="I54" s="11">
        <f>VHYS/ihys/1000</f>
        <v>99.999999999999986</v>
      </c>
    </row>
    <row r="55" spans="2:24" ht="15.75" customHeight="1" thickBot="1" x14ac:dyDescent="0.35">
      <c r="G55" s="4" t="s">
        <v>185</v>
      </c>
      <c r="I55" s="50">
        <f>uvloth*_RUV2*10^3/(VINSTARTUP-uvloth)/1000</f>
        <v>9.8039215686274499</v>
      </c>
      <c r="R55" s="6" t="s">
        <v>105</v>
      </c>
    </row>
    <row r="56" spans="2:24" ht="15.75" customHeight="1" x14ac:dyDescent="0.3">
      <c r="G56" s="4" t="s">
        <v>186</v>
      </c>
      <c r="I56" s="51">
        <f>(_RUV2*1000+_RUV1*1000)/4/(_RUV1*1000)/(_RUV2*1000)/(FSW*1000)*10^12</f>
        <v>70.000000000000014</v>
      </c>
      <c r="R56" s="3" t="s">
        <v>92</v>
      </c>
      <c r="S56" s="3">
        <f>VOUT/IOUT</f>
        <v>12.959896320829433</v>
      </c>
    </row>
    <row r="57" spans="2:24" ht="15.75" customHeight="1" x14ac:dyDescent="0.2">
      <c r="R57" s="3" t="s">
        <v>99</v>
      </c>
      <c r="S57" s="3">
        <f>COUT1*COUT2/(COUT1+COUT2)</f>
        <v>40.233463035019454</v>
      </c>
    </row>
    <row r="58" spans="2:24" ht="15.75" customHeight="1" x14ac:dyDescent="0.2">
      <c r="R58" s="3" t="s">
        <v>104</v>
      </c>
      <c r="S58" s="3">
        <f>K</f>
        <v>1</v>
      </c>
    </row>
    <row r="59" spans="2:24" ht="15.75" customHeight="1" x14ac:dyDescent="0.2">
      <c r="B59" s="7" t="s">
        <v>10</v>
      </c>
    </row>
    <row r="60" spans="2:24" ht="15.75" customHeight="1" x14ac:dyDescent="0.3">
      <c r="G60" s="4" t="s">
        <v>187</v>
      </c>
      <c r="I60" s="8">
        <v>20</v>
      </c>
      <c r="R60" s="3" t="s">
        <v>94</v>
      </c>
      <c r="S60" s="52">
        <f>1/((Rload+RESR)*(COUT1+COUT2)*10^-6)+1/(LO*10^-6*(COUT1+COUT2)*10^-6*wp_hf)</f>
        <v>189.11188360128153</v>
      </c>
      <c r="T60" s="3" t="s">
        <v>96</v>
      </c>
      <c r="U60" s="52">
        <f>wp_lf/2/PI()</f>
        <v>30.098091072563097</v>
      </c>
      <c r="W60" s="3" t="s">
        <v>129</v>
      </c>
      <c r="X60" s="3">
        <f>1/((Rload+RESR2)*(COUT1+COUT2)*10^-6)+1/(LO*10^-6*(COUT1+COUT2)*10^-6*wp_hf)</f>
        <v>189.3200303441462</v>
      </c>
    </row>
    <row r="61" spans="2:24" ht="15.75" customHeight="1" x14ac:dyDescent="0.3">
      <c r="G61" s="4" t="s">
        <v>188</v>
      </c>
      <c r="I61" s="8">
        <v>20</v>
      </c>
      <c r="R61" s="3" t="s">
        <v>93</v>
      </c>
      <c r="S61" s="52">
        <f>FSW*1000/(K-0.5)</f>
        <v>800000</v>
      </c>
      <c r="T61" s="3" t="s">
        <v>95</v>
      </c>
      <c r="U61" s="52">
        <f>wp_hf/2/PI()</f>
        <v>127323.95447351628</v>
      </c>
    </row>
    <row r="62" spans="2:24" ht="15.75" customHeight="1" x14ac:dyDescent="0.2">
      <c r="G62" s="4" t="s">
        <v>9</v>
      </c>
      <c r="I62" s="53">
        <f>(QGH*10^-9+QGL*10^-9)*FSW*1000*10^3</f>
        <v>16</v>
      </c>
      <c r="R62" s="3" t="s">
        <v>97</v>
      </c>
      <c r="S62" s="52">
        <f>1/(RESR*COUT1*10^-6)</f>
        <v>106382.97872340426</v>
      </c>
      <c r="T62" s="3" t="s">
        <v>101</v>
      </c>
      <c r="U62" s="52">
        <f>wz_esr/2/PI()</f>
        <v>16931.376924669719</v>
      </c>
      <c r="W62" s="3" t="s">
        <v>130</v>
      </c>
      <c r="X62" s="3">
        <f>1/(RESR2*COUT1*10^-6)</f>
        <v>1063829.7872340425</v>
      </c>
    </row>
    <row r="63" spans="2:24" ht="15.75" customHeight="1" x14ac:dyDescent="0.2">
      <c r="R63" s="3" t="s">
        <v>98</v>
      </c>
      <c r="S63" s="52">
        <f>1/(RESR*cout1_cout2*10^-6)</f>
        <v>1242746.6150870407</v>
      </c>
      <c r="T63" s="3" t="s">
        <v>102</v>
      </c>
      <c r="U63" s="52">
        <f>wp_esr/2/PI()</f>
        <v>197789.26680182354</v>
      </c>
      <c r="W63" s="3" t="s">
        <v>131</v>
      </c>
      <c r="X63" s="3">
        <f>1/(RESR2*cout1_cout2*10^-6)</f>
        <v>12427466.150870405</v>
      </c>
    </row>
    <row r="64" spans="2:24" ht="15.75" customHeight="1" x14ac:dyDescent="0.2">
      <c r="R64" s="3" t="s">
        <v>100</v>
      </c>
      <c r="S64" s="52">
        <f>2*PI()*FSW*1000/2</f>
        <v>1256637.0614359174</v>
      </c>
      <c r="T64" s="3" t="s">
        <v>103</v>
      </c>
      <c r="U64" s="52">
        <f>wn/2/PI()</f>
        <v>200000.00000000003</v>
      </c>
    </row>
    <row r="65" spans="2:28" ht="15.75" customHeight="1" thickBot="1" x14ac:dyDescent="0.25">
      <c r="B65" s="7" t="s">
        <v>11</v>
      </c>
    </row>
    <row r="66" spans="2:28" ht="15.75" customHeight="1" thickBot="1" x14ac:dyDescent="0.35">
      <c r="G66" s="4" t="s">
        <v>189</v>
      </c>
      <c r="I66" s="50">
        <v>1</v>
      </c>
      <c r="R66" s="3" t="s">
        <v>91</v>
      </c>
      <c r="S66" s="3">
        <f>Rload/RS/as*1/(1+Rload/(wp_hf*LO*10^-6))</f>
        <v>42.813027682075052</v>
      </c>
    </row>
    <row r="67" spans="2:28" ht="15.75" customHeight="1" x14ac:dyDescent="0.3">
      <c r="G67" s="4" t="s">
        <v>190</v>
      </c>
      <c r="I67" s="54">
        <v>1</v>
      </c>
    </row>
    <row r="68" spans="2:28" ht="15.75" customHeight="1" x14ac:dyDescent="0.2">
      <c r="R68" s="6" t="s">
        <v>106</v>
      </c>
    </row>
    <row r="69" spans="2:28" ht="15.75" customHeight="1" x14ac:dyDescent="0.2">
      <c r="R69" s="3" t="s">
        <v>110</v>
      </c>
      <c r="S69" s="3">
        <f>CCOMP*CHF/(CCOMP+CHF)</f>
        <v>329.68464946572846</v>
      </c>
    </row>
    <row r="70" spans="2:28" ht="15.75" customHeight="1" thickBot="1" x14ac:dyDescent="0.25">
      <c r="B70" s="7" t="s">
        <v>12</v>
      </c>
    </row>
    <row r="71" spans="2:28" ht="15.75" customHeight="1" thickBot="1" x14ac:dyDescent="0.35">
      <c r="G71" s="4" t="s">
        <v>191</v>
      </c>
      <c r="I71" s="55">
        <v>470</v>
      </c>
      <c r="R71" s="3" t="s">
        <v>109</v>
      </c>
      <c r="S71" s="52">
        <f>1/(RCOMP*CCOMP*10^-12)</f>
        <v>150.18397536982806</v>
      </c>
      <c r="T71" s="3" t="s">
        <v>112</v>
      </c>
      <c r="U71" s="52">
        <f>wz_ea/2/PI()</f>
        <v>23.902522053299595</v>
      </c>
    </row>
    <row r="72" spans="2:28" ht="15.75" customHeight="1" thickBot="1" x14ac:dyDescent="0.35">
      <c r="G72" s="4" t="s">
        <v>192</v>
      </c>
      <c r="I72" s="38">
        <f>22*2</f>
        <v>44</v>
      </c>
      <c r="R72" s="3" t="s">
        <v>108</v>
      </c>
      <c r="S72" s="52">
        <f>1/(RCOMP*ccomp_chf*10^-12)</f>
        <v>157160.70368019002</v>
      </c>
      <c r="T72" s="3" t="s">
        <v>111</v>
      </c>
      <c r="U72" s="52">
        <f>wp_ea/2/PI()</f>
        <v>25012.902850502869</v>
      </c>
    </row>
    <row r="73" spans="2:28" ht="15.75" customHeight="1" thickBot="1" x14ac:dyDescent="0.35">
      <c r="G73" s="4" t="s">
        <v>193</v>
      </c>
      <c r="I73" s="56">
        <v>0.02</v>
      </c>
    </row>
    <row r="74" spans="2:28" ht="15.75" customHeight="1" x14ac:dyDescent="0.3">
      <c r="G74" s="4" t="s">
        <v>194</v>
      </c>
      <c r="I74" s="57">
        <f>COUT1+COUT2</f>
        <v>514</v>
      </c>
      <c r="R74" s="3" t="s">
        <v>107</v>
      </c>
      <c r="S74" s="3">
        <f>1/(_RFB2*(CCOMP+CHF)*10^-12)</f>
        <v>580.31680306722967</v>
      </c>
    </row>
    <row r="75" spans="2:28" ht="15.75" customHeight="1" x14ac:dyDescent="0.2">
      <c r="G75" s="4" t="s">
        <v>30</v>
      </c>
      <c r="I75" s="53">
        <f>VOUT/(LO*10^-6)/(FSW*1000)*(1-VOUT/VINMAX)*SQRT(RESR^2+(1/(8*FSW*1000*COUT*10^-6))^2)*10^3</f>
        <v>10.892125935954704</v>
      </c>
    </row>
    <row r="76" spans="2:28" ht="15.75" customHeight="1" x14ac:dyDescent="0.2">
      <c r="G76" s="4" t="s">
        <v>20</v>
      </c>
      <c r="I76" s="30">
        <f>VOUT/(LO*10^-6)/(FSW*1000)*(1-VOUT/VINMAX)/SQRT(12)</f>
        <v>0.15714170633185379</v>
      </c>
      <c r="R76" s="6" t="s">
        <v>113</v>
      </c>
    </row>
    <row r="78" spans="2:28" ht="15.75" customHeight="1" x14ac:dyDescent="0.2">
      <c r="R78" s="3" t="s">
        <v>115</v>
      </c>
      <c r="S78" s="52">
        <f>1/SQRT(LO*10^-6*(COUT1+COUT2)*10^-6)</f>
        <v>5601.7354624068957</v>
      </c>
      <c r="T78" s="3" t="s">
        <v>114</v>
      </c>
      <c r="U78" s="52">
        <f>wlc/2/PI()</f>
        <v>891.54388873522157</v>
      </c>
    </row>
    <row r="79" spans="2:28" ht="15.75" customHeight="1" x14ac:dyDescent="0.2">
      <c r="B79" s="7" t="s">
        <v>13</v>
      </c>
    </row>
    <row r="80" spans="2:28" ht="15.75" customHeight="1" x14ac:dyDescent="0.3">
      <c r="G80" s="4" t="s">
        <v>195</v>
      </c>
      <c r="I80" s="8">
        <v>23.1</v>
      </c>
      <c r="R80" s="3" t="s">
        <v>116</v>
      </c>
      <c r="S80" s="3" t="s">
        <v>116</v>
      </c>
      <c r="T80" s="3" t="s">
        <v>120</v>
      </c>
      <c r="V80" s="3" t="s">
        <v>122</v>
      </c>
      <c r="X80" s="3" t="s">
        <v>123</v>
      </c>
      <c r="Z80" s="3" t="s">
        <v>127</v>
      </c>
      <c r="AB80" s="3" t="s">
        <v>128</v>
      </c>
    </row>
    <row r="81" spans="2:29" ht="15.75" customHeight="1" x14ac:dyDescent="0.2">
      <c r="G81" s="4" t="s">
        <v>21</v>
      </c>
      <c r="I81" s="13">
        <f>IOUT/4/(FSW*1000)/(CIN*10^-6)</f>
        <v>7.5156926406926408E-2</v>
      </c>
      <c r="R81" s="3" t="s">
        <v>117</v>
      </c>
      <c r="S81" s="3" t="s">
        <v>118</v>
      </c>
      <c r="T81" s="3" t="s">
        <v>119</v>
      </c>
      <c r="U81" s="3" t="s">
        <v>121</v>
      </c>
      <c r="V81" s="3" t="s">
        <v>119</v>
      </c>
      <c r="W81" s="3" t="s">
        <v>121</v>
      </c>
      <c r="X81" s="3" t="s">
        <v>119</v>
      </c>
      <c r="Y81" s="3" t="s">
        <v>121</v>
      </c>
      <c r="Z81" s="3" t="s">
        <v>119</v>
      </c>
      <c r="AA81" s="3" t="s">
        <v>121</v>
      </c>
      <c r="AB81" s="3" t="s">
        <v>119</v>
      </c>
      <c r="AC81" s="3" t="s">
        <v>121</v>
      </c>
    </row>
    <row r="82" spans="2:29" ht="15.75" customHeight="1" x14ac:dyDescent="0.2">
      <c r="G82" s="4" t="s">
        <v>22</v>
      </c>
      <c r="I82" s="30">
        <f>IF(AND(VINMIN&lt;VOUT*2,VINMAX&gt;VOUT*2),IOUT*SQRT(1/4),MAX(IOUT*SQRT(VOUT/VINMIN*(1-VOUT/VINMIN)),IOUT*SQRT(VOUT/VINMAX*(1-VOUT/VINMAX))))</f>
        <v>1.3447966423868705</v>
      </c>
      <c r="Q82" s="3">
        <v>1</v>
      </c>
      <c r="R82" s="3">
        <f t="shared" ref="R82:R99" si="3">FSW*1000*Q82/100000</f>
        <v>4</v>
      </c>
      <c r="S82" s="52">
        <f t="shared" ref="S82:S90" si="4">2*PI()*R82</f>
        <v>25.132741228718345</v>
      </c>
      <c r="T82" s="58">
        <f t="shared" ref="T82:T113" si="5">20*LOG(Am*IMABS(IMDIV(IMDIV(IMDIV(COMPLEX(1,S82/wz_esr),COMPLEX(1,S82/wp_lf)),COMPLEX(1,S82/wp_esr)),COMPLEX(1-S82^2/(wn^2),S82/wp_hf))))</f>
        <v>32.555483111092443</v>
      </c>
      <c r="U82" s="58">
        <f t="shared" ref="U82:U113" si="6">IMARGUMENT(IMDIV(IMDIV(IMDIV(COMPLEX(1,S82/wz_esr),COMPLEX(1,S82/wp_lf)),COMPLEX(1,S82/wp_esr)),COMPLEX(1-S82^2/(wn^2),S82/wp_hf)))*180/PI()</f>
        <v>-7.5596023085910673</v>
      </c>
      <c r="V82" s="58">
        <f t="shared" ref="V82:V113" si="7">20*LOG(Afb*IMABS(IMDIV(IMDIV(COMPLEX(1,S82/wz_ea),COMPLEX(1,S82/wp_ea)),COMPLEX(0,S82))))</f>
        <v>27.388457049070301</v>
      </c>
      <c r="W82" s="58">
        <f t="shared" ref="W82:W113" si="8">IMARGUMENT(IMDIV(IMDIV(COMPLEX(-1,-S82/wz_ea),COMPLEX(1,S82/wp_ea)),COMPLEX(0,S82)))*180/PI()</f>
        <v>99.491046320695645</v>
      </c>
      <c r="X82" s="58">
        <f>T82+V82</f>
        <v>59.94394016016274</v>
      </c>
      <c r="Y82" s="58">
        <f>U82+W82</f>
        <v>91.931444012104578</v>
      </c>
      <c r="Z82" s="58">
        <f t="shared" ref="Z82:Z113" si="9">20*LOG(Am*IMABS(IMDIV(IMDIV(IMDIV(COMPLEX(1,S82/wz_esr2),COMPLEX(1,S82/wp_lf2)),COMPLEX(1,S82/wp_esr2)),COMPLEX(1-S82^2/(wn^2),S82/wp_hf))))</f>
        <v>32.55564852436153</v>
      </c>
      <c r="AA82" s="58">
        <f t="shared" ref="AA82:AA113" si="10">IMARGUMENT(IMDIV(IMDIV(IMDIV(COMPLEX(1,S82/wz_esr2),COMPLEX(1,S82/wp_lf2)),COMPLEX(1,S82/wp_esr2)),COMPLEX(1-S82^2/(wn^2),S82/wp_hf)))*180/PI()</f>
        <v>-7.562515237423046</v>
      </c>
      <c r="AB82" s="58">
        <f>Z82+V82</f>
        <v>59.944105573431827</v>
      </c>
      <c r="AC82" s="58">
        <f>AA82+W82</f>
        <v>91.928531083272603</v>
      </c>
    </row>
    <row r="83" spans="2:29" ht="15.75" customHeight="1" x14ac:dyDescent="0.2">
      <c r="Q83" s="3">
        <v>1.5</v>
      </c>
      <c r="R83" s="3">
        <f t="shared" si="3"/>
        <v>6</v>
      </c>
      <c r="S83" s="52">
        <f t="shared" si="4"/>
        <v>37.699111843077517</v>
      </c>
      <c r="T83" s="58">
        <f t="shared" si="5"/>
        <v>32.462273100110856</v>
      </c>
      <c r="U83" s="58">
        <f t="shared" si="6"/>
        <v>-11.258152525226127</v>
      </c>
      <c r="V83" s="58">
        <f t="shared" si="7"/>
        <v>24.012057089926806</v>
      </c>
      <c r="W83" s="58">
        <f t="shared" si="8"/>
        <v>104.07746530997713</v>
      </c>
      <c r="X83" s="58">
        <f t="shared" ref="X83:Y146" si="11">T83+V83</f>
        <v>56.474330190037662</v>
      </c>
      <c r="Y83" s="58">
        <f t="shared" si="11"/>
        <v>92.819312784751006</v>
      </c>
      <c r="Z83" s="58">
        <f t="shared" si="9"/>
        <v>32.462637374162199</v>
      </c>
      <c r="AA83" s="58">
        <f t="shared" si="10"/>
        <v>-11.262783664453465</v>
      </c>
      <c r="AB83" s="58">
        <f t="shared" ref="AB83:AC146" si="12">Z83+V83</f>
        <v>56.474694464089005</v>
      </c>
      <c r="AC83" s="58">
        <f t="shared" si="12"/>
        <v>92.814681645523663</v>
      </c>
    </row>
    <row r="84" spans="2:29" ht="15.75" customHeight="1" x14ac:dyDescent="0.2">
      <c r="Q84" s="3">
        <v>2</v>
      </c>
      <c r="R84" s="3">
        <f t="shared" si="3"/>
        <v>8</v>
      </c>
      <c r="S84" s="52">
        <f t="shared" si="4"/>
        <v>50.26548245743669</v>
      </c>
      <c r="T84" s="58">
        <f t="shared" si="5"/>
        <v>32.335051241353348</v>
      </c>
      <c r="U84" s="58">
        <f t="shared" si="6"/>
        <v>-14.863763880221185</v>
      </c>
      <c r="V84" s="58">
        <f t="shared" si="7"/>
        <v>21.709028273902987</v>
      </c>
      <c r="W84" s="58">
        <f t="shared" si="8"/>
        <v>108.48669316774868</v>
      </c>
      <c r="X84" s="58">
        <f t="shared" si="11"/>
        <v>54.044079515256335</v>
      </c>
      <c r="Y84" s="58">
        <f t="shared" si="11"/>
        <v>93.622929287527498</v>
      </c>
      <c r="Z84" s="58">
        <f t="shared" si="9"/>
        <v>32.335680135795755</v>
      </c>
      <c r="AA84" s="58">
        <f t="shared" si="10"/>
        <v>-14.870403169402515</v>
      </c>
      <c r="AB84" s="58">
        <f t="shared" si="12"/>
        <v>54.044708409698742</v>
      </c>
      <c r="AC84" s="58">
        <f t="shared" si="12"/>
        <v>93.616289998346161</v>
      </c>
    </row>
    <row r="85" spans="2:29" ht="15.75" customHeight="1" x14ac:dyDescent="0.2">
      <c r="B85" s="7" t="s">
        <v>14</v>
      </c>
      <c r="Q85" s="3">
        <v>2.5</v>
      </c>
      <c r="R85" s="3">
        <f t="shared" si="3"/>
        <v>10</v>
      </c>
      <c r="S85" s="52">
        <f t="shared" si="4"/>
        <v>62.831853071795862</v>
      </c>
      <c r="T85" s="58">
        <f t="shared" si="5"/>
        <v>32.176772505289854</v>
      </c>
      <c r="U85" s="58">
        <f t="shared" si="6"/>
        <v>-18.352468511706423</v>
      </c>
      <c r="V85" s="58">
        <f t="shared" si="7"/>
        <v>20.010194479414587</v>
      </c>
      <c r="W85" s="58">
        <f t="shared" si="8"/>
        <v>112.67986477242947</v>
      </c>
      <c r="X85" s="58">
        <f t="shared" si="11"/>
        <v>52.186966984704441</v>
      </c>
      <c r="Y85" s="58">
        <f t="shared" si="11"/>
        <v>94.327396260723049</v>
      </c>
      <c r="Z85" s="58">
        <f t="shared" si="9"/>
        <v>32.177719966439838</v>
      </c>
      <c r="AA85" s="58">
        <f t="shared" si="10"/>
        <v>-18.361466595812804</v>
      </c>
      <c r="AB85" s="58">
        <f t="shared" si="12"/>
        <v>52.187914445854425</v>
      </c>
      <c r="AC85" s="58">
        <f t="shared" si="12"/>
        <v>94.318398176616668</v>
      </c>
    </row>
    <row r="86" spans="2:29" ht="15.75" customHeight="1" thickBot="1" x14ac:dyDescent="0.35">
      <c r="G86" s="4" t="s">
        <v>196</v>
      </c>
      <c r="I86" s="10">
        <v>800</v>
      </c>
      <c r="Q86" s="3">
        <v>3</v>
      </c>
      <c r="R86" s="3">
        <f t="shared" si="3"/>
        <v>12</v>
      </c>
      <c r="S86" s="52">
        <f t="shared" si="4"/>
        <v>75.398223686155035</v>
      </c>
      <c r="T86" s="58">
        <f t="shared" si="5"/>
        <v>31.990840999922874</v>
      </c>
      <c r="U86" s="58">
        <f t="shared" si="6"/>
        <v>-21.70525921710162</v>
      </c>
      <c r="V86" s="58">
        <f t="shared" si="7"/>
        <v>18.702272870510587</v>
      </c>
      <c r="W86" s="58">
        <f t="shared" si="8"/>
        <v>116.63095133394184</v>
      </c>
      <c r="X86" s="58">
        <f t="shared" si="11"/>
        <v>50.693113870433464</v>
      </c>
      <c r="Y86" s="58">
        <f t="shared" si="11"/>
        <v>94.925692116840224</v>
      </c>
      <c r="Z86" s="58">
        <f t="shared" si="9"/>
        <v>31.992148130215025</v>
      </c>
      <c r="AA86" s="58">
        <f t="shared" si="10"/>
        <v>-21.717004036574608</v>
      </c>
      <c r="AB86" s="58">
        <f t="shared" si="12"/>
        <v>50.694421000725612</v>
      </c>
      <c r="AC86" s="58">
        <f t="shared" si="12"/>
        <v>94.91394729736723</v>
      </c>
    </row>
    <row r="87" spans="2:29" ht="15.75" customHeight="1" thickBot="1" x14ac:dyDescent="0.35">
      <c r="G87" s="4" t="s">
        <v>197</v>
      </c>
      <c r="I87" s="59">
        <f>TSS*10^-3*iss/0.8*10^6</f>
        <v>10</v>
      </c>
      <c r="Q87" s="3">
        <v>3.5</v>
      </c>
      <c r="R87" s="3">
        <f t="shared" si="3"/>
        <v>14</v>
      </c>
      <c r="S87" s="52">
        <f t="shared" si="4"/>
        <v>87.964594300514207</v>
      </c>
      <c r="T87" s="58">
        <f t="shared" si="5"/>
        <v>31.780898346632931</v>
      </c>
      <c r="U87" s="58">
        <f t="shared" si="6"/>
        <v>-24.908274366952991</v>
      </c>
      <c r="V87" s="58">
        <f t="shared" si="7"/>
        <v>17.668093874401901</v>
      </c>
      <c r="W87" s="58">
        <f t="shared" si="8"/>
        <v>120.32595958110899</v>
      </c>
      <c r="X87" s="58">
        <f t="shared" si="11"/>
        <v>49.448992221034828</v>
      </c>
      <c r="Y87" s="58">
        <f t="shared" si="11"/>
        <v>95.417685214155995</v>
      </c>
      <c r="Z87" s="58">
        <f t="shared" si="9"/>
        <v>31.78259347388159</v>
      </c>
      <c r="AA87" s="58">
        <f t="shared" si="10"/>
        <v>-24.923168863138429</v>
      </c>
      <c r="AB87" s="58">
        <f t="shared" si="12"/>
        <v>49.450687348283495</v>
      </c>
      <c r="AC87" s="58">
        <f t="shared" si="12"/>
        <v>95.402790717970561</v>
      </c>
    </row>
    <row r="88" spans="2:29" ht="15.75" customHeight="1" x14ac:dyDescent="0.2">
      <c r="Q88" s="3">
        <v>4</v>
      </c>
      <c r="R88" s="3">
        <f t="shared" si="3"/>
        <v>16</v>
      </c>
      <c r="S88" s="52">
        <f t="shared" si="4"/>
        <v>100.53096491487338</v>
      </c>
      <c r="T88" s="58">
        <f t="shared" si="5"/>
        <v>31.550632559392881</v>
      </c>
      <c r="U88" s="58">
        <f t="shared" si="6"/>
        <v>-27.952587113574975</v>
      </c>
      <c r="V88" s="58">
        <f t="shared" si="7"/>
        <v>16.835220235183101</v>
      </c>
      <c r="W88" s="58">
        <f t="shared" si="8"/>
        <v>123.76112516897572</v>
      </c>
      <c r="X88" s="58">
        <f t="shared" si="11"/>
        <v>48.385852794575982</v>
      </c>
      <c r="Y88" s="58">
        <f t="shared" si="11"/>
        <v>95.808538055400746</v>
      </c>
      <c r="Z88" s="58">
        <f t="shared" si="9"/>
        <v>31.552732171768156</v>
      </c>
      <c r="AA88" s="58">
        <f t="shared" si="10"/>
        <v>-27.971030119939602</v>
      </c>
      <c r="AB88" s="58">
        <f t="shared" si="12"/>
        <v>48.387952406951257</v>
      </c>
      <c r="AC88" s="58">
        <f t="shared" si="12"/>
        <v>95.790095049036125</v>
      </c>
    </row>
    <row r="89" spans="2:29" ht="15.75" customHeight="1" x14ac:dyDescent="0.2">
      <c r="Q89" s="3">
        <v>4.5</v>
      </c>
      <c r="R89" s="3">
        <f t="shared" si="3"/>
        <v>18</v>
      </c>
      <c r="S89" s="52">
        <f t="shared" si="4"/>
        <v>113.09733552923255</v>
      </c>
      <c r="T89" s="58">
        <f t="shared" si="5"/>
        <v>31.303622065039988</v>
      </c>
      <c r="U89" s="58">
        <f t="shared" si="6"/>
        <v>-30.833707033192848</v>
      </c>
      <c r="V89" s="58">
        <f t="shared" si="7"/>
        <v>16.155212731392709</v>
      </c>
      <c r="W89" s="58">
        <f t="shared" si="8"/>
        <v>126.94065844309914</v>
      </c>
      <c r="X89" s="58">
        <f t="shared" si="11"/>
        <v>47.458834796432697</v>
      </c>
      <c r="Y89" s="58">
        <f t="shared" si="11"/>
        <v>96.106951409906287</v>
      </c>
      <c r="Z89" s="58">
        <f t="shared" si="9"/>
        <v>31.306132318049883</v>
      </c>
      <c r="AA89" s="58">
        <f t="shared" si="10"/>
        <v>-30.856078469844135</v>
      </c>
      <c r="AB89" s="58">
        <f t="shared" si="12"/>
        <v>47.461345049442592</v>
      </c>
      <c r="AC89" s="58">
        <f t="shared" si="12"/>
        <v>96.084579973255003</v>
      </c>
    </row>
    <row r="90" spans="2:29" ht="15.75" customHeight="1" x14ac:dyDescent="0.2">
      <c r="B90" s="7" t="s">
        <v>15</v>
      </c>
      <c r="Q90" s="3">
        <v>5</v>
      </c>
      <c r="R90" s="3">
        <f t="shared" si="3"/>
        <v>20</v>
      </c>
      <c r="S90" s="52">
        <f t="shared" si="4"/>
        <v>125.66370614359172</v>
      </c>
      <c r="T90" s="58">
        <f t="shared" si="5"/>
        <v>31.043220990633351</v>
      </c>
      <c r="U90" s="58">
        <f t="shared" si="6"/>
        <v>-33.550911840115077</v>
      </c>
      <c r="V90" s="58">
        <f t="shared" si="7"/>
        <v>15.593898836005245</v>
      </c>
      <c r="W90" s="58">
        <f t="shared" si="8"/>
        <v>129.87448121829777</v>
      </c>
      <c r="X90" s="58">
        <f t="shared" si="11"/>
        <v>46.637119826638596</v>
      </c>
      <c r="Y90" s="58">
        <f t="shared" si="11"/>
        <v>96.323569378182697</v>
      </c>
      <c r="Z90" s="58">
        <f t="shared" si="9"/>
        <v>31.046139500677477</v>
      </c>
      <c r="AA90" s="58">
        <f t="shared" si="10"/>
        <v>-33.577562464703981</v>
      </c>
      <c r="AB90" s="58">
        <f t="shared" si="12"/>
        <v>46.640038336682721</v>
      </c>
      <c r="AC90" s="58">
        <f t="shared" si="12"/>
        <v>96.296918753593786</v>
      </c>
    </row>
    <row r="91" spans="2:29" ht="15.75" customHeight="1" thickBot="1" x14ac:dyDescent="0.35">
      <c r="G91" s="4" t="s">
        <v>198</v>
      </c>
      <c r="I91" s="10">
        <v>12500</v>
      </c>
      <c r="Q91" s="3">
        <v>5.5</v>
      </c>
      <c r="R91" s="3">
        <f t="shared" si="3"/>
        <v>22</v>
      </c>
      <c r="S91" s="52">
        <f>2*PI()*R91</f>
        <v>138.23007675795088</v>
      </c>
      <c r="T91" s="58">
        <f t="shared" si="5"/>
        <v>30.772484931532155</v>
      </c>
      <c r="U91" s="58">
        <f t="shared" si="6"/>
        <v>-36.106513874640555</v>
      </c>
      <c r="V91" s="58">
        <f t="shared" si="7"/>
        <v>15.126259167475363</v>
      </c>
      <c r="W91" s="58">
        <f t="shared" si="8"/>
        <v>132.57622570422356</v>
      </c>
      <c r="X91" s="58">
        <f t="shared" si="11"/>
        <v>45.898744099007516</v>
      </c>
      <c r="Y91" s="58">
        <f t="shared" si="11"/>
        <v>96.469711829583005</v>
      </c>
      <c r="Z91" s="58">
        <f t="shared" si="9"/>
        <v>30.775802622169948</v>
      </c>
      <c r="AA91" s="58">
        <f t="shared" si="10"/>
        <v>-36.137759215958184</v>
      </c>
      <c r="AB91" s="58">
        <f t="shared" si="12"/>
        <v>45.902061789645309</v>
      </c>
      <c r="AC91" s="58">
        <f t="shared" si="12"/>
        <v>96.438466488265377</v>
      </c>
    </row>
    <row r="92" spans="2:29" ht="15.75" customHeight="1" thickBot="1" x14ac:dyDescent="0.35">
      <c r="G92" s="4" t="s">
        <v>199</v>
      </c>
      <c r="I92" s="50">
        <f>TRES*10^-3*ires/resth*10^6</f>
        <v>100</v>
      </c>
      <c r="Q92" s="3">
        <v>6</v>
      </c>
      <c r="R92" s="3">
        <f t="shared" si="3"/>
        <v>24</v>
      </c>
      <c r="S92" s="52">
        <f t="shared" ref="S92:S155" si="13">2*PI()*R92</f>
        <v>150.79644737231007</v>
      </c>
      <c r="T92" s="58">
        <f t="shared" si="5"/>
        <v>30.494131926089914</v>
      </c>
      <c r="U92" s="58">
        <f t="shared" si="6"/>
        <v>-38.505141123993823</v>
      </c>
      <c r="V92" s="58">
        <f t="shared" si="7"/>
        <v>14.733487780707968</v>
      </c>
      <c r="W92" s="58">
        <f t="shared" si="8"/>
        <v>135.0616167841732</v>
      </c>
      <c r="X92" s="58">
        <f t="shared" si="11"/>
        <v>45.227619706797881</v>
      </c>
      <c r="Y92" s="58">
        <f t="shared" si="11"/>
        <v>96.556475660179373</v>
      </c>
      <c r="Z92" s="58">
        <f t="shared" si="9"/>
        <v>30.497834762260936</v>
      </c>
      <c r="AA92" s="58">
        <f t="shared" si="10"/>
        <v>-38.54125887065986</v>
      </c>
      <c r="AB92" s="58">
        <f t="shared" si="12"/>
        <v>45.231322542968904</v>
      </c>
      <c r="AC92" s="58">
        <f t="shared" si="12"/>
        <v>96.520357913513337</v>
      </c>
    </row>
    <row r="93" spans="2:29" ht="15.75" customHeight="1" x14ac:dyDescent="0.2">
      <c r="Q93" s="3">
        <v>6.5</v>
      </c>
      <c r="R93" s="3">
        <f t="shared" si="3"/>
        <v>26</v>
      </c>
      <c r="S93" s="52">
        <f t="shared" si="13"/>
        <v>163.36281798666926</v>
      </c>
      <c r="T93" s="58">
        <f t="shared" si="5"/>
        <v>30.210531234349798</v>
      </c>
      <c r="U93" s="58">
        <f t="shared" si="6"/>
        <v>-40.753084768660294</v>
      </c>
      <c r="V93" s="58">
        <f t="shared" si="7"/>
        <v>14.401174974558682</v>
      </c>
      <c r="W93" s="58">
        <f t="shared" si="8"/>
        <v>137.34725414849981</v>
      </c>
      <c r="X93" s="58">
        <f t="shared" si="11"/>
        <v>44.61170620890848</v>
      </c>
      <c r="Y93" s="58">
        <f t="shared" si="11"/>
        <v>96.594169379839514</v>
      </c>
      <c r="Z93" s="58">
        <f t="shared" si="9"/>
        <v>30.214601747051436</v>
      </c>
      <c r="AA93" s="58">
        <f t="shared" si="10"/>
        <v>-40.794314763137429</v>
      </c>
      <c r="AB93" s="58">
        <f t="shared" si="12"/>
        <v>44.615776721610118</v>
      </c>
      <c r="AC93" s="58">
        <f t="shared" si="12"/>
        <v>96.552939385362379</v>
      </c>
    </row>
    <row r="94" spans="2:29" ht="15.75" customHeight="1" x14ac:dyDescent="0.2">
      <c r="Q94" s="3">
        <v>7</v>
      </c>
      <c r="R94" s="3">
        <f t="shared" si="3"/>
        <v>28</v>
      </c>
      <c r="S94" s="52">
        <f t="shared" si="13"/>
        <v>175.92918860102841</v>
      </c>
      <c r="T94" s="58">
        <f t="shared" si="5"/>
        <v>29.92371219183223</v>
      </c>
      <c r="U94" s="58">
        <f t="shared" si="6"/>
        <v>-42.857740655447635</v>
      </c>
      <c r="V94" s="58">
        <f t="shared" si="7"/>
        <v>14.118117238137451</v>
      </c>
      <c r="W94" s="58">
        <f t="shared" si="8"/>
        <v>139.44975203428876</v>
      </c>
      <c r="X94" s="58">
        <f t="shared" si="11"/>
        <v>44.041829429969681</v>
      </c>
      <c r="Y94" s="58">
        <f t="shared" si="11"/>
        <v>96.592011378841136</v>
      </c>
      <c r="Z94" s="58">
        <f t="shared" si="9"/>
        <v>29.928130750483032</v>
      </c>
      <c r="AA94" s="58">
        <f t="shared" si="10"/>
        <v>-42.904286680263219</v>
      </c>
      <c r="AB94" s="58">
        <f t="shared" si="12"/>
        <v>44.046247988620479</v>
      </c>
      <c r="AC94" s="58">
        <f t="shared" si="12"/>
        <v>96.545465354025538</v>
      </c>
    </row>
    <row r="95" spans="2:29" ht="15.75" customHeight="1" thickBot="1" x14ac:dyDescent="0.25">
      <c r="B95" s="7" t="s">
        <v>17</v>
      </c>
      <c r="Q95" s="3">
        <v>7.5</v>
      </c>
      <c r="R95" s="3">
        <f t="shared" si="3"/>
        <v>30</v>
      </c>
      <c r="S95" s="52">
        <f t="shared" si="13"/>
        <v>188.49555921538757</v>
      </c>
      <c r="T95" s="58">
        <f t="shared" si="5"/>
        <v>29.63538619882123</v>
      </c>
      <c r="U95" s="58">
        <f t="shared" si="6"/>
        <v>-44.827153429544325</v>
      </c>
      <c r="V95" s="58">
        <f t="shared" si="7"/>
        <v>13.875502211107065</v>
      </c>
      <c r="W95" s="58">
        <f t="shared" si="8"/>
        <v>141.38517015679801</v>
      </c>
      <c r="X95" s="58">
        <f t="shared" si="11"/>
        <v>43.510888409928299</v>
      </c>
      <c r="Y95" s="58">
        <f t="shared" si="11"/>
        <v>96.558016727253687</v>
      </c>
      <c r="Z95" s="58">
        <f t="shared" si="9"/>
        <v>29.640132027241691</v>
      </c>
      <c r="AA95" s="58">
        <f t="shared" si="10"/>
        <v>-44.879186095774898</v>
      </c>
      <c r="AB95" s="58">
        <f t="shared" si="12"/>
        <v>43.515634238348753</v>
      </c>
      <c r="AC95" s="58">
        <f t="shared" si="12"/>
        <v>96.505984061023113</v>
      </c>
    </row>
    <row r="96" spans="2:29" ht="15.75" customHeight="1" thickBot="1" x14ac:dyDescent="0.35">
      <c r="G96" s="4" t="s">
        <v>200</v>
      </c>
      <c r="I96" s="55">
        <v>4990</v>
      </c>
      <c r="Q96" s="3">
        <v>8</v>
      </c>
      <c r="R96" s="3">
        <f t="shared" si="3"/>
        <v>32</v>
      </c>
      <c r="S96" s="52">
        <f t="shared" si="13"/>
        <v>201.06192982974676</v>
      </c>
      <c r="T96" s="58">
        <f t="shared" si="5"/>
        <v>29.34697621681455</v>
      </c>
      <c r="U96" s="58">
        <f t="shared" si="6"/>
        <v>-46.669659684134423</v>
      </c>
      <c r="V96" s="58">
        <f t="shared" si="7"/>
        <v>13.666331169030334</v>
      </c>
      <c r="W96" s="58">
        <f t="shared" si="8"/>
        <v>143.16866655026567</v>
      </c>
      <c r="X96" s="58">
        <f t="shared" si="11"/>
        <v>43.013307385844882</v>
      </c>
      <c r="Y96" s="58">
        <f t="shared" si="11"/>
        <v>96.499006866131253</v>
      </c>
      <c r="Z96" s="58">
        <f t="shared" si="9"/>
        <v>29.3520281725391</v>
      </c>
      <c r="AA96" s="58">
        <f t="shared" si="10"/>
        <v>-46.72731988642456</v>
      </c>
      <c r="AB96" s="58">
        <f t="shared" si="12"/>
        <v>43.018359341569436</v>
      </c>
      <c r="AC96" s="58">
        <f t="shared" si="12"/>
        <v>96.441346663841102</v>
      </c>
    </row>
    <row r="97" spans="2:29" ht="15.75" customHeight="1" thickBot="1" x14ac:dyDescent="0.35">
      <c r="G97" s="4" t="s">
        <v>201</v>
      </c>
      <c r="I97" s="60">
        <f>_RFB2/(VOUT/0.8-1)</f>
        <v>113.40909090909091</v>
      </c>
      <c r="Q97" s="3">
        <v>8.5</v>
      </c>
      <c r="R97" s="3">
        <f t="shared" si="3"/>
        <v>34</v>
      </c>
      <c r="S97" s="52">
        <f t="shared" si="13"/>
        <v>213.62830044410595</v>
      </c>
      <c r="T97" s="58">
        <f t="shared" si="5"/>
        <v>29.059649562205941</v>
      </c>
      <c r="U97" s="58">
        <f t="shared" si="6"/>
        <v>-48.393619473691842</v>
      </c>
      <c r="V97" s="58">
        <f t="shared" si="7"/>
        <v>13.484999198862862</v>
      </c>
      <c r="W97" s="58">
        <f t="shared" si="8"/>
        <v>144.81431090277596</v>
      </c>
      <c r="X97" s="58">
        <f t="shared" si="11"/>
        <v>42.5446487610688</v>
      </c>
      <c r="Y97" s="58">
        <f t="shared" si="11"/>
        <v>96.420691429084115</v>
      </c>
      <c r="Z97" s="58">
        <f t="shared" si="9"/>
        <v>29.064986710889396</v>
      </c>
      <c r="AA97" s="58">
        <f t="shared" si="10"/>
        <v>-48.457022026276405</v>
      </c>
      <c r="AB97" s="58">
        <f t="shared" si="12"/>
        <v>42.549985909752259</v>
      </c>
      <c r="AC97" s="58">
        <f t="shared" si="12"/>
        <v>96.357288876499553</v>
      </c>
    </row>
    <row r="98" spans="2:29" ht="15.75" customHeight="1" x14ac:dyDescent="0.2">
      <c r="Q98" s="3">
        <v>9</v>
      </c>
      <c r="R98" s="3">
        <f t="shared" si="3"/>
        <v>36</v>
      </c>
      <c r="S98" s="52">
        <f t="shared" si="13"/>
        <v>226.1946710584651</v>
      </c>
      <c r="T98" s="58">
        <f t="shared" si="5"/>
        <v>28.774351074122304</v>
      </c>
      <c r="U98" s="58">
        <f t="shared" si="6"/>
        <v>-50.0072224834419</v>
      </c>
      <c r="V98" s="58">
        <f t="shared" si="7"/>
        <v>13.326984033607214</v>
      </c>
      <c r="W98" s="58">
        <f t="shared" si="8"/>
        <v>146.33500872421104</v>
      </c>
      <c r="X98" s="58">
        <f t="shared" si="11"/>
        <v>42.101335107729518</v>
      </c>
      <c r="Y98" s="58">
        <f t="shared" si="11"/>
        <v>96.327786240769143</v>
      </c>
      <c r="Z98" s="58">
        <f t="shared" si="9"/>
        <v>28.779953094722707</v>
      </c>
      <c r="AA98" s="58">
        <f t="shared" si="10"/>
        <v>-50.076459679940903</v>
      </c>
      <c r="AB98" s="58">
        <f t="shared" si="12"/>
        <v>42.106937128329918</v>
      </c>
      <c r="AC98" s="58">
        <f t="shared" si="12"/>
        <v>96.258549044270126</v>
      </c>
    </row>
    <row r="99" spans="2:29" ht="15.75" customHeight="1" x14ac:dyDescent="0.2">
      <c r="Q99" s="3">
        <v>9.5</v>
      </c>
      <c r="R99" s="3">
        <f t="shared" si="3"/>
        <v>38</v>
      </c>
      <c r="S99" s="52">
        <f t="shared" si="13"/>
        <v>238.76104167282426</v>
      </c>
      <c r="T99" s="58">
        <f t="shared" si="5"/>
        <v>28.491834783872775</v>
      </c>
      <c r="U99" s="58">
        <f t="shared" si="6"/>
        <v>-51.518354688050792</v>
      </c>
      <c r="V99" s="58">
        <f t="shared" si="7"/>
        <v>13.188611946400499</v>
      </c>
      <c r="W99" s="58">
        <f t="shared" si="8"/>
        <v>147.74249856395934</v>
      </c>
      <c r="X99" s="58">
        <f t="shared" si="11"/>
        <v>41.680446730273275</v>
      </c>
      <c r="Y99" s="58">
        <f t="shared" si="11"/>
        <v>96.224143875908553</v>
      </c>
      <c r="Z99" s="58">
        <f t="shared" si="9"/>
        <v>28.497682239210548</v>
      </c>
      <c r="AA99" s="58">
        <f t="shared" si="10"/>
        <v>-51.593499628235406</v>
      </c>
      <c r="AB99" s="58">
        <f t="shared" si="12"/>
        <v>41.686294185611047</v>
      </c>
      <c r="AC99" s="58">
        <f t="shared" si="12"/>
        <v>96.148998935723938</v>
      </c>
    </row>
    <row r="100" spans="2:29" ht="15.75" customHeight="1" x14ac:dyDescent="0.2">
      <c r="B100" s="7" t="s">
        <v>16</v>
      </c>
      <c r="Q100" s="6">
        <v>1</v>
      </c>
      <c r="R100" s="6">
        <f t="shared" ref="R100:R117" si="14">FSW*1000*Q100/10000</f>
        <v>40</v>
      </c>
      <c r="S100" s="61">
        <f t="shared" si="13"/>
        <v>251.32741228718345</v>
      </c>
      <c r="T100" s="62">
        <f t="shared" si="5"/>
        <v>28.212693007978423</v>
      </c>
      <c r="U100" s="62">
        <f t="shared" si="6"/>
        <v>-52.934512369022855</v>
      </c>
      <c r="V100" s="62">
        <f t="shared" si="7"/>
        <v>13.06687951246737</v>
      </c>
      <c r="W100" s="62">
        <f t="shared" si="8"/>
        <v>149.04739479519833</v>
      </c>
      <c r="X100" s="62">
        <f t="shared" si="11"/>
        <v>41.279572520445797</v>
      </c>
      <c r="Y100" s="62">
        <f t="shared" si="11"/>
        <v>96.112882426175474</v>
      </c>
      <c r="Z100" s="58">
        <f t="shared" si="9"/>
        <v>28.218767511541969</v>
      </c>
      <c r="AA100" s="58">
        <f t="shared" si="10"/>
        <v>-53.015621969154125</v>
      </c>
      <c r="AB100" s="58">
        <f t="shared" si="12"/>
        <v>41.285647024009336</v>
      </c>
      <c r="AC100" s="58">
        <f t="shared" si="12"/>
        <v>96.031772826044204</v>
      </c>
    </row>
    <row r="101" spans="2:29" ht="15.75" customHeight="1" x14ac:dyDescent="0.3">
      <c r="G101" s="4" t="s">
        <v>202</v>
      </c>
      <c r="I101" s="10">
        <v>5</v>
      </c>
      <c r="Q101" s="6">
        <v>1.5</v>
      </c>
      <c r="R101" s="6">
        <f t="shared" si="14"/>
        <v>60</v>
      </c>
      <c r="S101" s="61">
        <f t="shared" si="13"/>
        <v>376.99111843077515</v>
      </c>
      <c r="T101" s="62">
        <f t="shared" si="5"/>
        <v>25.664541073154542</v>
      </c>
      <c r="U101" s="62">
        <f t="shared" si="6"/>
        <v>-63.20140348356378</v>
      </c>
      <c r="V101" s="62">
        <f t="shared" si="7"/>
        <v>12.380527071555484</v>
      </c>
      <c r="W101" s="62">
        <f t="shared" si="8"/>
        <v>158.1414420977359</v>
      </c>
      <c r="X101" s="62">
        <f t="shared" si="11"/>
        <v>38.045068144710029</v>
      </c>
      <c r="Y101" s="62">
        <f t="shared" si="11"/>
        <v>94.940038614172124</v>
      </c>
      <c r="Z101" s="58">
        <f t="shared" si="9"/>
        <v>25.672119707654467</v>
      </c>
      <c r="AA101" s="58">
        <f t="shared" si="10"/>
        <v>-63.343226958665007</v>
      </c>
      <c r="AB101" s="58">
        <f t="shared" si="12"/>
        <v>38.052646779209951</v>
      </c>
      <c r="AC101" s="58">
        <f t="shared" si="12"/>
        <v>94.798215139070891</v>
      </c>
    </row>
    <row r="102" spans="2:29" ht="15.75" customHeight="1" thickBot="1" x14ac:dyDescent="0.35">
      <c r="G102" s="4" t="s">
        <v>203</v>
      </c>
      <c r="I102" s="63">
        <f>2*3.14*RS*10*COUT*10^-6*_RFB2*FCROSS*1000</f>
        <v>19328.784960000005</v>
      </c>
      <c r="Q102" s="6">
        <v>2</v>
      </c>
      <c r="R102" s="6">
        <f t="shared" si="14"/>
        <v>80</v>
      </c>
      <c r="S102" s="61">
        <f t="shared" si="13"/>
        <v>502.6548245743669</v>
      </c>
      <c r="T102" s="62">
        <f t="shared" si="5"/>
        <v>23.565659479727493</v>
      </c>
      <c r="U102" s="62">
        <f t="shared" si="6"/>
        <v>-69.170844829664929</v>
      </c>
      <c r="V102" s="62">
        <f t="shared" si="7"/>
        <v>12.112143593142893</v>
      </c>
      <c r="W102" s="62">
        <f t="shared" si="8"/>
        <v>163.18157495983189</v>
      </c>
      <c r="X102" s="62">
        <f t="shared" si="11"/>
        <v>35.67780307287039</v>
      </c>
      <c r="Y102" s="62">
        <f t="shared" si="11"/>
        <v>94.010730130166962</v>
      </c>
      <c r="Z102" s="58">
        <f t="shared" si="9"/>
        <v>23.573933194936899</v>
      </c>
      <c r="AA102" s="58">
        <f t="shared" si="10"/>
        <v>-69.372852637458919</v>
      </c>
      <c r="AB102" s="58">
        <f t="shared" si="12"/>
        <v>35.686076788079788</v>
      </c>
      <c r="AC102" s="58">
        <f t="shared" si="12"/>
        <v>93.808722322372972</v>
      </c>
    </row>
    <row r="103" spans="2:29" ht="15.75" customHeight="1" thickBot="1" x14ac:dyDescent="0.35">
      <c r="G103" s="4" t="s">
        <v>204</v>
      </c>
      <c r="I103" s="64">
        <v>19300</v>
      </c>
      <c r="Q103" s="6">
        <v>2.5</v>
      </c>
      <c r="R103" s="6">
        <f t="shared" si="14"/>
        <v>100</v>
      </c>
      <c r="S103" s="61">
        <f t="shared" si="13"/>
        <v>628.31853071795865</v>
      </c>
      <c r="T103" s="62">
        <f t="shared" si="5"/>
        <v>21.825834593105636</v>
      </c>
      <c r="U103" s="62">
        <f t="shared" si="6"/>
        <v>-72.984780215286108</v>
      </c>
      <c r="V103" s="62">
        <f t="shared" si="7"/>
        <v>11.982058113731144</v>
      </c>
      <c r="W103" s="62">
        <f t="shared" si="8"/>
        <v>166.32802366810469</v>
      </c>
      <c r="X103" s="62">
        <f t="shared" si="11"/>
        <v>33.807892706836782</v>
      </c>
      <c r="Y103" s="62">
        <f t="shared" si="11"/>
        <v>93.343243452818584</v>
      </c>
      <c r="Z103" s="58">
        <f t="shared" si="9"/>
        <v>21.834446139443841</v>
      </c>
      <c r="AA103" s="58">
        <f t="shared" si="10"/>
        <v>-73.245862514593512</v>
      </c>
      <c r="AB103" s="58">
        <f t="shared" si="12"/>
        <v>33.816504253174983</v>
      </c>
      <c r="AC103" s="58">
        <f t="shared" si="12"/>
        <v>93.08216115351118</v>
      </c>
    </row>
    <row r="104" spans="2:29" ht="15.75" customHeight="1" thickBot="1" x14ac:dyDescent="0.35">
      <c r="G104" s="4" t="s">
        <v>205</v>
      </c>
      <c r="I104" s="65">
        <f>VOUT/IOUT*COUT*10^-6/RCOMP*10^12</f>
        <v>345149.57040965435</v>
      </c>
      <c r="Q104" s="6">
        <v>3</v>
      </c>
      <c r="R104" s="6">
        <f t="shared" si="14"/>
        <v>120</v>
      </c>
      <c r="S104" s="61">
        <f t="shared" si="13"/>
        <v>753.98223686155029</v>
      </c>
      <c r="T104" s="62">
        <f t="shared" si="5"/>
        <v>20.353926370033619</v>
      </c>
      <c r="U104" s="62">
        <f t="shared" si="6"/>
        <v>-75.602373492669258</v>
      </c>
      <c r="V104" s="62">
        <f t="shared" si="7"/>
        <v>11.909710113374746</v>
      </c>
      <c r="W104" s="62">
        <f t="shared" si="8"/>
        <v>168.45995094749134</v>
      </c>
      <c r="X104" s="62">
        <f t="shared" si="11"/>
        <v>32.263636483408362</v>
      </c>
      <c r="Y104" s="62">
        <f t="shared" si="11"/>
        <v>92.857577454822078</v>
      </c>
      <c r="Z104" s="58">
        <f t="shared" si="9"/>
        <v>20.362700785284819</v>
      </c>
      <c r="AA104" s="58">
        <f t="shared" si="10"/>
        <v>-75.921673038113568</v>
      </c>
      <c r="AB104" s="58">
        <f t="shared" si="12"/>
        <v>32.272410898659565</v>
      </c>
      <c r="AC104" s="58">
        <f t="shared" si="12"/>
        <v>92.538277909377769</v>
      </c>
    </row>
    <row r="105" spans="2:29" ht="15.75" customHeight="1" thickBot="1" x14ac:dyDescent="0.35">
      <c r="G105" s="4" t="s">
        <v>206</v>
      </c>
      <c r="I105" s="64">
        <v>345000</v>
      </c>
      <c r="Q105" s="6">
        <v>3.5</v>
      </c>
      <c r="R105" s="6">
        <f t="shared" si="14"/>
        <v>140</v>
      </c>
      <c r="S105" s="61">
        <f t="shared" si="13"/>
        <v>879.64594300514204</v>
      </c>
      <c r="T105" s="62">
        <f t="shared" si="5"/>
        <v>19.083804312581591</v>
      </c>
      <c r="U105" s="62">
        <f t="shared" si="6"/>
        <v>-77.496672679560547</v>
      </c>
      <c r="V105" s="62">
        <f t="shared" si="7"/>
        <v>11.865479695729213</v>
      </c>
      <c r="W105" s="62">
        <f t="shared" si="8"/>
        <v>169.99049291857298</v>
      </c>
      <c r="X105" s="62">
        <f t="shared" si="11"/>
        <v>30.949284008310805</v>
      </c>
      <c r="Y105" s="62">
        <f t="shared" si="11"/>
        <v>92.493820239012436</v>
      </c>
      <c r="Z105" s="58">
        <f t="shared" si="9"/>
        <v>19.092644862530641</v>
      </c>
      <c r="AA105" s="58">
        <f t="shared" si="10"/>
        <v>-77.873588025534104</v>
      </c>
      <c r="AB105" s="58">
        <f t="shared" si="12"/>
        <v>30.958124558259854</v>
      </c>
      <c r="AC105" s="58">
        <f t="shared" si="12"/>
        <v>92.116904893038878</v>
      </c>
    </row>
    <row r="106" spans="2:29" ht="15.75" customHeight="1" x14ac:dyDescent="0.3">
      <c r="G106" s="1" t="s">
        <v>137</v>
      </c>
      <c r="I106" s="65">
        <f>IF(FCROSS*1000&lt;(Fz_esr/10), "NU",RESR*COUT*10^-6*CCOMP*10^-12/(RCOMP*CCOMP*10^-12-RESR*COUT*10^-6)*10^12)</f>
        <v>533.46610070063855</v>
      </c>
      <c r="K106" s="6" t="s">
        <v>124</v>
      </c>
      <c r="Q106" s="6">
        <v>4</v>
      </c>
      <c r="R106" s="6">
        <f t="shared" si="14"/>
        <v>160</v>
      </c>
      <c r="S106" s="61">
        <f t="shared" si="13"/>
        <v>1005.3096491487338</v>
      </c>
      <c r="T106" s="62">
        <f t="shared" si="5"/>
        <v>17.969256796468265</v>
      </c>
      <c r="U106" s="62">
        <f t="shared" si="6"/>
        <v>-78.923340249219862</v>
      </c>
      <c r="V106" s="62">
        <f t="shared" si="7"/>
        <v>11.836511672371659</v>
      </c>
      <c r="W106" s="62">
        <f t="shared" si="8"/>
        <v>171.13687720489284</v>
      </c>
      <c r="X106" s="62">
        <f t="shared" si="11"/>
        <v>29.805768468839922</v>
      </c>
      <c r="Y106" s="62">
        <f t="shared" si="11"/>
        <v>92.213536955672978</v>
      </c>
      <c r="Z106" s="58">
        <f t="shared" si="9"/>
        <v>17.978103672372335</v>
      </c>
      <c r="AA106" s="58">
        <f t="shared" si="10"/>
        <v>-79.357449035278478</v>
      </c>
      <c r="AB106" s="58">
        <f t="shared" si="12"/>
        <v>29.814615344743991</v>
      </c>
      <c r="AC106" s="58">
        <f t="shared" si="12"/>
        <v>91.779428169614363</v>
      </c>
    </row>
    <row r="107" spans="2:29" ht="15.75" customHeight="1" thickBot="1" x14ac:dyDescent="0.35">
      <c r="G107" s="1" t="s">
        <v>138</v>
      </c>
      <c r="I107" s="63">
        <f>IF(FCROSS*1000&lt;(Fz_esr/10), "NU",RESR/10*COUT*10^-6*CCOMP*10^-12/(RCOMP*CCOMP*10^-12-RESR/10*COUT*10^-6)*10^12)</f>
        <v>53.272473395306811</v>
      </c>
      <c r="Q107" s="6">
        <v>4.5</v>
      </c>
      <c r="R107" s="6">
        <f t="shared" si="14"/>
        <v>180</v>
      </c>
      <c r="S107" s="61">
        <f t="shared" si="13"/>
        <v>1130.9733552923256</v>
      </c>
      <c r="T107" s="62">
        <f t="shared" si="5"/>
        <v>16.977572352561566</v>
      </c>
      <c r="U107" s="62">
        <f t="shared" si="6"/>
        <v>-80.031346507273014</v>
      </c>
      <c r="V107" s="62">
        <f t="shared" si="7"/>
        <v>11.816520728942976</v>
      </c>
      <c r="W107" s="62">
        <f t="shared" si="8"/>
        <v>172.02353531570483</v>
      </c>
      <c r="X107" s="62">
        <f t="shared" si="11"/>
        <v>28.794093081504542</v>
      </c>
      <c r="Y107" s="62">
        <f t="shared" si="11"/>
        <v>91.99218880843182</v>
      </c>
      <c r="Z107" s="58">
        <f t="shared" si="9"/>
        <v>16.986384741257769</v>
      </c>
      <c r="AA107" s="58">
        <f t="shared" si="10"/>
        <v>-80.522345568609452</v>
      </c>
      <c r="AB107" s="58">
        <f t="shared" si="12"/>
        <v>28.802905470200745</v>
      </c>
      <c r="AC107" s="58">
        <f t="shared" si="12"/>
        <v>91.501189747095381</v>
      </c>
    </row>
    <row r="108" spans="2:29" ht="15.75" customHeight="1" thickBot="1" x14ac:dyDescent="0.35">
      <c r="G108" s="1" t="s">
        <v>139</v>
      </c>
      <c r="I108" s="64">
        <v>330</v>
      </c>
      <c r="Q108" s="6">
        <v>5</v>
      </c>
      <c r="R108" s="6">
        <f t="shared" si="14"/>
        <v>200</v>
      </c>
      <c r="S108" s="61">
        <f t="shared" si="13"/>
        <v>1256.6370614359173</v>
      </c>
      <c r="T108" s="62">
        <f t="shared" si="5"/>
        <v>16.085038340521962</v>
      </c>
      <c r="U108" s="62">
        <f t="shared" si="6"/>
        <v>-80.912921365858196</v>
      </c>
      <c r="V108" s="62">
        <f t="shared" si="7"/>
        <v>11.802145939005715</v>
      </c>
      <c r="W108" s="62">
        <f t="shared" si="8"/>
        <v>172.72663710436493</v>
      </c>
      <c r="X108" s="62">
        <f t="shared" si="11"/>
        <v>27.887184279527677</v>
      </c>
      <c r="Y108" s="62">
        <f t="shared" si="11"/>
        <v>91.81371573850673</v>
      </c>
      <c r="Z108" s="58">
        <f t="shared" si="9"/>
        <v>16.093785929161609</v>
      </c>
      <c r="AA108" s="58">
        <f t="shared" si="10"/>
        <v>-81.460587417661074</v>
      </c>
      <c r="AB108" s="58">
        <f t="shared" si="12"/>
        <v>27.895931868167324</v>
      </c>
      <c r="AC108" s="58">
        <f t="shared" si="12"/>
        <v>91.266049686703852</v>
      </c>
    </row>
    <row r="109" spans="2:29" ht="15.75" customHeight="1" x14ac:dyDescent="0.2">
      <c r="Q109" s="6">
        <v>5.5</v>
      </c>
      <c r="R109" s="6">
        <f t="shared" si="14"/>
        <v>220</v>
      </c>
      <c r="S109" s="61">
        <f t="shared" si="13"/>
        <v>1382.3007675795091</v>
      </c>
      <c r="T109" s="62">
        <f t="shared" si="5"/>
        <v>15.274034747139032</v>
      </c>
      <c r="U109" s="62">
        <f t="shared" si="6"/>
        <v>-81.628047154312597</v>
      </c>
      <c r="V109" s="62">
        <f t="shared" si="7"/>
        <v>11.791460462626716</v>
      </c>
      <c r="W109" s="62">
        <f t="shared" si="8"/>
        <v>173.29533049380743</v>
      </c>
      <c r="X109" s="62">
        <f t="shared" si="11"/>
        <v>27.06549520976575</v>
      </c>
      <c r="Y109" s="62">
        <f t="shared" si="11"/>
        <v>91.66728333949483</v>
      </c>
      <c r="Z109" s="58">
        <f t="shared" si="9"/>
        <v>15.282693382449784</v>
      </c>
      <c r="AA109" s="58">
        <f t="shared" si="10"/>
        <v>-82.232211595555995</v>
      </c>
      <c r="AB109" s="58">
        <f t="shared" si="12"/>
        <v>27.074153845076502</v>
      </c>
      <c r="AC109" s="58">
        <f t="shared" si="12"/>
        <v>91.063118898251432</v>
      </c>
    </row>
    <row r="110" spans="2:29" ht="15.75" customHeight="1" x14ac:dyDescent="0.2">
      <c r="B110" s="6" t="s">
        <v>18</v>
      </c>
      <c r="Q110" s="6">
        <v>6</v>
      </c>
      <c r="R110" s="6">
        <f t="shared" si="14"/>
        <v>240</v>
      </c>
      <c r="S110" s="61">
        <f t="shared" si="13"/>
        <v>1507.9644737231006</v>
      </c>
      <c r="T110" s="62">
        <f t="shared" si="5"/>
        <v>14.531164801416088</v>
      </c>
      <c r="U110" s="62">
        <f t="shared" si="6"/>
        <v>-82.21734536901252</v>
      </c>
      <c r="V110" s="62">
        <f t="shared" si="7"/>
        <v>11.783296323472051</v>
      </c>
      <c r="W110" s="62">
        <f t="shared" si="8"/>
        <v>173.7627096495242</v>
      </c>
      <c r="X110" s="62">
        <f t="shared" si="11"/>
        <v>26.31446112488814</v>
      </c>
      <c r="Y110" s="62">
        <f t="shared" si="11"/>
        <v>91.545364280511677</v>
      </c>
      <c r="Z110" s="58">
        <f t="shared" si="9"/>
        <v>14.539714126218044</v>
      </c>
      <c r="AA110" s="58">
        <f t="shared" si="10"/>
        <v>-82.87787794810049</v>
      </c>
      <c r="AB110" s="58">
        <f t="shared" si="12"/>
        <v>26.323010449690095</v>
      </c>
      <c r="AC110" s="58">
        <f t="shared" si="12"/>
        <v>90.884831701423707</v>
      </c>
    </row>
    <row r="111" spans="2:29" ht="15.75" customHeight="1" x14ac:dyDescent="0.2">
      <c r="G111" s="4" t="s">
        <v>19</v>
      </c>
      <c r="I111" s="8">
        <v>30</v>
      </c>
      <c r="Q111" s="6">
        <v>6.5</v>
      </c>
      <c r="R111" s="6">
        <f t="shared" si="14"/>
        <v>260</v>
      </c>
      <c r="S111" s="61">
        <f t="shared" si="13"/>
        <v>1633.6281798666923</v>
      </c>
      <c r="T111" s="62">
        <f t="shared" si="5"/>
        <v>13.846031475446722</v>
      </c>
      <c r="U111" s="62">
        <f t="shared" si="6"/>
        <v>-82.709270282337201</v>
      </c>
      <c r="V111" s="62">
        <f t="shared" si="7"/>
        <v>11.77691251984734</v>
      </c>
      <c r="W111" s="62">
        <f t="shared" si="8"/>
        <v>174.1518570657307</v>
      </c>
      <c r="X111" s="62">
        <f t="shared" si="11"/>
        <v>25.622943995294062</v>
      </c>
      <c r="Y111" s="62">
        <f t="shared" si="11"/>
        <v>91.442586783393494</v>
      </c>
      <c r="Z111" s="58">
        <f t="shared" si="9"/>
        <v>13.854453571058066</v>
      </c>
      <c r="AA111" s="58">
        <f t="shared" si="10"/>
        <v>-83.426068276674854</v>
      </c>
      <c r="AB111" s="58">
        <f t="shared" si="12"/>
        <v>25.631366090905406</v>
      </c>
      <c r="AC111" s="58">
        <f t="shared" si="12"/>
        <v>90.725788789055841</v>
      </c>
    </row>
    <row r="112" spans="2:29" ht="15.75" customHeight="1" x14ac:dyDescent="0.2">
      <c r="G112" s="4" t="s">
        <v>207</v>
      </c>
      <c r="I112" s="66" t="s">
        <v>44</v>
      </c>
      <c r="Q112" s="6">
        <v>7</v>
      </c>
      <c r="R112" s="6">
        <f t="shared" si="14"/>
        <v>280</v>
      </c>
      <c r="S112" s="61">
        <f t="shared" si="13"/>
        <v>1759.2918860102841</v>
      </c>
      <c r="T112" s="62">
        <f t="shared" si="5"/>
        <v>13.210418041535558</v>
      </c>
      <c r="U112" s="62">
        <f t="shared" si="6"/>
        <v>-83.124329831227968</v>
      </c>
      <c r="V112" s="62">
        <f t="shared" si="7"/>
        <v>11.771820740069499</v>
      </c>
      <c r="W112" s="62">
        <f t="shared" si="8"/>
        <v>174.4793544340632</v>
      </c>
      <c r="X112" s="62">
        <f t="shared" si="11"/>
        <v>24.982238781605055</v>
      </c>
      <c r="Y112" s="62">
        <f t="shared" si="11"/>
        <v>91.355024602835229</v>
      </c>
      <c r="Z112" s="58">
        <f t="shared" si="9"/>
        <v>13.218696611811998</v>
      </c>
      <c r="AA112" s="58">
        <f t="shared" si="10"/>
        <v>-83.897310706977493</v>
      </c>
      <c r="AB112" s="58">
        <f t="shared" si="12"/>
        <v>24.990517351881497</v>
      </c>
      <c r="AC112" s="58">
        <f t="shared" si="12"/>
        <v>90.582043727085704</v>
      </c>
    </row>
    <row r="113" spans="2:29" ht="15.75" customHeight="1" x14ac:dyDescent="0.2">
      <c r="G113" s="4" t="str">
        <f>IF(EXT="YES","External VCC supply voltage [V]","")</f>
        <v>External VCC supply voltage [V]</v>
      </c>
      <c r="I113" s="8">
        <v>3.3</v>
      </c>
      <c r="Q113" s="6">
        <v>7.5</v>
      </c>
      <c r="R113" s="6">
        <f t="shared" si="14"/>
        <v>300</v>
      </c>
      <c r="S113" s="61">
        <f t="shared" si="13"/>
        <v>1884.9555921538758</v>
      </c>
      <c r="T113" s="62">
        <f t="shared" si="5"/>
        <v>12.617726086201897</v>
      </c>
      <c r="U113" s="62">
        <f t="shared" si="6"/>
        <v>-83.477669421505809</v>
      </c>
      <c r="V113" s="62">
        <f t="shared" si="7"/>
        <v>11.767688686923281</v>
      </c>
      <c r="W113" s="62">
        <f t="shared" si="8"/>
        <v>174.75741600830227</v>
      </c>
      <c r="X113" s="62">
        <f t="shared" si="11"/>
        <v>24.385414773125177</v>
      </c>
      <c r="Y113" s="62">
        <f t="shared" si="11"/>
        <v>91.279746586796463</v>
      </c>
      <c r="Z113" s="58">
        <f t="shared" si="9"/>
        <v>12.625845947746576</v>
      </c>
      <c r="AA113" s="58">
        <f t="shared" si="10"/>
        <v>-84.306765737373368</v>
      </c>
      <c r="AB113" s="58">
        <f t="shared" si="12"/>
        <v>24.393534634669855</v>
      </c>
      <c r="AC113" s="58">
        <f t="shared" si="12"/>
        <v>90.450650270928904</v>
      </c>
    </row>
    <row r="114" spans="2:29" ht="15.75" customHeight="1" x14ac:dyDescent="0.2">
      <c r="G114" s="4" t="s">
        <v>57</v>
      </c>
      <c r="I114" s="8">
        <v>5100</v>
      </c>
      <c r="Q114" s="6">
        <v>8</v>
      </c>
      <c r="R114" s="6">
        <f t="shared" si="14"/>
        <v>320</v>
      </c>
      <c r="S114" s="61">
        <f t="shared" si="13"/>
        <v>2010.6192982974676</v>
      </c>
      <c r="T114" s="62">
        <f t="shared" ref="T114:T145" si="15">20*LOG(Am*IMABS(IMDIV(IMDIV(IMDIV(COMPLEX(1,S114/wz_esr),COMPLEX(1,S114/wp_lf)),COMPLEX(1,S114/wp_esr)),COMPLEX(1-S114^2/(wn^2),S114/wp_hf))))</f>
        <v>12.062581295699285</v>
      </c>
      <c r="U114" s="62">
        <f t="shared" ref="U114:U145" si="16">IMARGUMENT(IMDIV(IMDIV(IMDIV(COMPLEX(1,S114/wz_esr),COMPLEX(1,S114/wp_lf)),COMPLEX(1,S114/wp_esr)),COMPLEX(1-S114^2/(wn^2),S114/wp_hf)))*180/PI()</f>
        <v>-83.780712125168861</v>
      </c>
      <c r="V114" s="62">
        <f t="shared" ref="V114:V145" si="17">20*LOG(Afb*IMABS(IMDIV(IMDIV(COMPLEX(1,S114/wz_ea),COMPLEX(1,S114/wp_ea)),COMPLEX(0,S114))))</f>
        <v>11.764283919834387</v>
      </c>
      <c r="W114" s="62">
        <f t="shared" ref="W114:W145" si="18">IMARGUMENT(IMDIV(IMDIV(COMPLEX(-1,-S114/wz_ea),COMPLEX(1,S114/wp_ea)),COMPLEX(0,S114)))*180/PI()</f>
        <v>174.99523512268894</v>
      </c>
      <c r="X114" s="62">
        <f t="shared" si="11"/>
        <v>23.826865215533672</v>
      </c>
      <c r="Y114" s="62">
        <f t="shared" si="11"/>
        <v>91.214522997520078</v>
      </c>
      <c r="Z114" s="58">
        <f t="shared" ref="Z114:Z145" si="19">20*LOG(Am*IMABS(IMDIV(IMDIV(IMDIV(COMPLEX(1,S114/wz_esr2),COMPLEX(1,S114/wp_lf2)),COMPLEX(1,S114/wp_esr2)),COMPLEX(1-S114^2/(wn^2),S114/wp_hf))))</f>
        <v>12.070528048535053</v>
      </c>
      <c r="AA114" s="58">
        <f t="shared" ref="AA114:AA145" si="20">IMARGUMENT(IMDIV(IMDIV(IMDIV(COMPLEX(1,S114/wz_esr2),COMPLEX(1,S114/wp_lf2)),COMPLEX(1,S114/wp_esr2)),COMPLEX(1-S114^2/(wn^2),S114/wp_hf)))*180/PI()</f>
        <v>-84.665867916745384</v>
      </c>
      <c r="AB114" s="58">
        <f t="shared" si="12"/>
        <v>23.83481196836944</v>
      </c>
      <c r="AC114" s="58">
        <f t="shared" si="12"/>
        <v>90.329367205943555</v>
      </c>
    </row>
    <row r="115" spans="2:29" ht="15.75" customHeight="1" x14ac:dyDescent="0.2">
      <c r="G115" s="4" t="s">
        <v>58</v>
      </c>
      <c r="I115" s="8">
        <v>3200</v>
      </c>
      <c r="Q115" s="6">
        <v>8.5</v>
      </c>
      <c r="R115" s="6">
        <f t="shared" si="14"/>
        <v>340</v>
      </c>
      <c r="S115" s="61">
        <f t="shared" si="13"/>
        <v>2136.2830044410593</v>
      </c>
      <c r="T115" s="62">
        <f t="shared" si="15"/>
        <v>11.540551100189724</v>
      </c>
      <c r="U115" s="62">
        <f t="shared" si="16"/>
        <v>-84.042233147756207</v>
      </c>
      <c r="V115" s="62">
        <f t="shared" si="17"/>
        <v>11.761439922605483</v>
      </c>
      <c r="W115" s="62">
        <f t="shared" si="18"/>
        <v>175.19986227621129</v>
      </c>
      <c r="X115" s="62">
        <f t="shared" si="11"/>
        <v>23.301991022795207</v>
      </c>
      <c r="Y115" s="62">
        <f t="shared" si="11"/>
        <v>91.157629128455085</v>
      </c>
      <c r="Z115" s="58">
        <f t="shared" si="19"/>
        <v>11.548310908736655</v>
      </c>
      <c r="AA115" s="58">
        <f t="shared" si="20"/>
        <v>-84.983401310857602</v>
      </c>
      <c r="AB115" s="58">
        <f t="shared" si="12"/>
        <v>23.309750831342136</v>
      </c>
      <c r="AC115" s="58">
        <f t="shared" si="12"/>
        <v>90.21646096535369</v>
      </c>
    </row>
    <row r="116" spans="2:29" ht="15.75" customHeight="1" x14ac:dyDescent="0.2">
      <c r="G116" s="4" t="s">
        <v>59</v>
      </c>
      <c r="I116" s="8">
        <v>5100</v>
      </c>
      <c r="Q116" s="6">
        <v>9</v>
      </c>
      <c r="R116" s="6">
        <f t="shared" si="14"/>
        <v>360</v>
      </c>
      <c r="S116" s="61">
        <f t="shared" si="13"/>
        <v>2261.9467105846511</v>
      </c>
      <c r="T116" s="62">
        <f t="shared" si="15"/>
        <v>11.047938550094944</v>
      </c>
      <c r="U116" s="62">
        <f t="shared" si="16"/>
        <v>-84.269083294188533</v>
      </c>
      <c r="V116" s="62">
        <f t="shared" si="17"/>
        <v>11.759034890639429</v>
      </c>
      <c r="W116" s="62">
        <f t="shared" si="18"/>
        <v>175.37679420632671</v>
      </c>
      <c r="X116" s="62">
        <f t="shared" si="11"/>
        <v>22.806973440734374</v>
      </c>
      <c r="Y116" s="62">
        <f t="shared" si="11"/>
        <v>91.107710912138174</v>
      </c>
      <c r="Z116" s="58">
        <f t="shared" si="19"/>
        <v>11.05549799374624</v>
      </c>
      <c r="AA116" s="58">
        <f t="shared" si="20"/>
        <v>-85.266223656656692</v>
      </c>
      <c r="AB116" s="58">
        <f t="shared" si="12"/>
        <v>22.81453288438567</v>
      </c>
      <c r="AC116" s="58">
        <f t="shared" si="12"/>
        <v>90.110570549670015</v>
      </c>
    </row>
    <row r="117" spans="2:29" ht="15.75" customHeight="1" x14ac:dyDescent="0.2">
      <c r="G117" s="4" t="s">
        <v>60</v>
      </c>
      <c r="I117" s="8">
        <v>3200</v>
      </c>
      <c r="Q117" s="6">
        <v>9.5</v>
      </c>
      <c r="R117" s="6">
        <f t="shared" si="14"/>
        <v>380</v>
      </c>
      <c r="S117" s="61">
        <f t="shared" si="13"/>
        <v>2387.6104167282429</v>
      </c>
      <c r="T117" s="62">
        <f t="shared" si="15"/>
        <v>10.581629218146293</v>
      </c>
      <c r="U117" s="62">
        <f t="shared" si="16"/>
        <v>-84.466688013847971</v>
      </c>
      <c r="V117" s="62">
        <f t="shared" si="17"/>
        <v>11.756978069894654</v>
      </c>
      <c r="W117" s="62">
        <f t="shared" si="18"/>
        <v>175.53037901374478</v>
      </c>
      <c r="X117" s="62">
        <f t="shared" si="11"/>
        <v>22.338607288040947</v>
      </c>
      <c r="Y117" s="62">
        <f t="shared" si="11"/>
        <v>91.063690999896806</v>
      </c>
      <c r="Z117" s="58">
        <f t="shared" si="19"/>
        <v>10.588975187004745</v>
      </c>
      <c r="AA117" s="58">
        <f t="shared" si="20"/>
        <v>-85.519765891181251</v>
      </c>
      <c r="AB117" s="58">
        <f t="shared" si="12"/>
        <v>22.345953256899399</v>
      </c>
      <c r="AC117" s="58">
        <f t="shared" si="12"/>
        <v>90.010613122563527</v>
      </c>
    </row>
    <row r="118" spans="2:29" ht="15.75" customHeight="1" x14ac:dyDescent="0.3">
      <c r="G118" s="4" t="s">
        <v>208</v>
      </c>
      <c r="I118" s="30">
        <f>IF(EXT="Yes",VINMAX*(Ivin_oper+vrt/(RT*1000))+EXTVCC*(7.6/rvcc+ivcc+7.6*FSW*1000*(CGS_H+CGS_L)*10^-12+VINMAX*FSW*1000*(CGD_H+CGD_L)*10^-12),VINMAX*(Ivin_oper+vrt/(RT*1000)+7.6/rvcc+ivcc+7.6*FSW*1000*(CGS_H+CGS_L)*10^-12+VINMAX*FSW*1000*(CGD_H+CGD_L)*10^-12))</f>
        <v>0.63459561322314051</v>
      </c>
      <c r="Q118" s="6">
        <v>1</v>
      </c>
      <c r="R118" s="6">
        <f t="shared" ref="R118:R135" si="21">FSW*1000*Q118/1000</f>
        <v>400</v>
      </c>
      <c r="S118" s="61">
        <f t="shared" si="13"/>
        <v>2513.2741228718346</v>
      </c>
      <c r="T118" s="62">
        <f t="shared" si="15"/>
        <v>10.138975687095837</v>
      </c>
      <c r="U118" s="62">
        <f t="shared" si="16"/>
        <v>-84.639399095256309</v>
      </c>
      <c r="V118" s="62">
        <f t="shared" si="17"/>
        <v>11.755200726000734</v>
      </c>
      <c r="W118" s="62">
        <f t="shared" si="18"/>
        <v>175.66410095902302</v>
      </c>
      <c r="X118" s="62">
        <f t="shared" si="11"/>
        <v>21.89417641309657</v>
      </c>
      <c r="Y118" s="62">
        <f t="shared" si="11"/>
        <v>91.024701863766708</v>
      </c>
      <c r="Z118" s="58">
        <f t="shared" si="19"/>
        <v>10.146095307753608</v>
      </c>
      <c r="AA118" s="58">
        <f t="shared" si="20"/>
        <v>-85.748384192428631</v>
      </c>
      <c r="AB118" s="58">
        <f t="shared" si="12"/>
        <v>21.901296033754342</v>
      </c>
      <c r="AC118" s="58">
        <f t="shared" si="12"/>
        <v>89.915716766594386</v>
      </c>
    </row>
    <row r="119" spans="2:29" ht="15.75" customHeight="1" x14ac:dyDescent="0.3">
      <c r="G119" s="4" t="s">
        <v>209</v>
      </c>
      <c r="I119" s="53">
        <f>TAMB+PLOSSIC*theta_tssop</f>
        <v>55.383824528925622</v>
      </c>
      <c r="Q119" s="6">
        <v>1.5</v>
      </c>
      <c r="R119" s="6">
        <f t="shared" si="21"/>
        <v>600</v>
      </c>
      <c r="S119" s="61">
        <f t="shared" si="13"/>
        <v>3769.9111843077517</v>
      </c>
      <c r="T119" s="62">
        <f t="shared" si="15"/>
        <v>6.6337502957294747</v>
      </c>
      <c r="U119" s="62">
        <f t="shared" si="16"/>
        <v>-85.542508941062451</v>
      </c>
      <c r="V119" s="62">
        <f t="shared" si="17"/>
        <v>11.745219676425478</v>
      </c>
      <c r="W119" s="62">
        <f t="shared" si="18"/>
        <v>176.34455775898965</v>
      </c>
      <c r="X119" s="62">
        <f t="shared" si="11"/>
        <v>18.378969972154952</v>
      </c>
      <c r="Y119" s="62">
        <f t="shared" si="11"/>
        <v>90.802048817927201</v>
      </c>
      <c r="Z119" s="58">
        <f t="shared" si="19"/>
        <v>6.6379248741128762</v>
      </c>
      <c r="AA119" s="58">
        <f t="shared" si="20"/>
        <v>-87.209437836663085</v>
      </c>
      <c r="AB119" s="58">
        <f t="shared" si="12"/>
        <v>18.383144550538354</v>
      </c>
      <c r="AC119" s="58">
        <f t="shared" si="12"/>
        <v>89.135119922326567</v>
      </c>
    </row>
    <row r="120" spans="2:29" ht="15.75" customHeight="1" x14ac:dyDescent="0.2">
      <c r="I120" s="67"/>
      <c r="Q120" s="6">
        <v>2</v>
      </c>
      <c r="R120" s="6">
        <f t="shared" si="21"/>
        <v>800</v>
      </c>
      <c r="S120" s="61">
        <f t="shared" si="13"/>
        <v>5026.5482457436692</v>
      </c>
      <c r="T120" s="62">
        <f t="shared" si="15"/>
        <v>4.1439365878817238</v>
      </c>
      <c r="U120" s="62">
        <f t="shared" si="16"/>
        <v>-85.731955651667718</v>
      </c>
      <c r="V120" s="62">
        <f t="shared" si="17"/>
        <v>11.740265913317977</v>
      </c>
      <c r="W120" s="62">
        <f t="shared" si="18"/>
        <v>176.45672240578921</v>
      </c>
      <c r="X120" s="62">
        <f t="shared" si="11"/>
        <v>15.884202501199701</v>
      </c>
      <c r="Y120" s="62">
        <f t="shared" si="11"/>
        <v>90.724766754121489</v>
      </c>
      <c r="Z120" s="58">
        <f t="shared" si="19"/>
        <v>4.1439603574677744</v>
      </c>
      <c r="AA120" s="58">
        <f t="shared" si="20"/>
        <v>-87.955487493250416</v>
      </c>
      <c r="AB120" s="58">
        <f t="shared" si="12"/>
        <v>15.884226270785751</v>
      </c>
      <c r="AC120" s="58">
        <f t="shared" si="12"/>
        <v>88.501234912538791</v>
      </c>
    </row>
    <row r="121" spans="2:29" ht="15.75" customHeight="1" x14ac:dyDescent="0.2">
      <c r="Q121" s="6">
        <v>2.5</v>
      </c>
      <c r="R121" s="6">
        <f t="shared" si="21"/>
        <v>1000</v>
      </c>
      <c r="S121" s="61">
        <f t="shared" si="13"/>
        <v>6283.1853071795858</v>
      </c>
      <c r="T121" s="62">
        <f t="shared" si="15"/>
        <v>2.2133268275354765</v>
      </c>
      <c r="U121" s="62">
        <f t="shared" si="16"/>
        <v>-85.635633928815395</v>
      </c>
      <c r="V121" s="62">
        <f t="shared" si="17"/>
        <v>11.736375541958235</v>
      </c>
      <c r="W121" s="62">
        <f t="shared" si="18"/>
        <v>176.34131739806776</v>
      </c>
      <c r="X121" s="62">
        <f t="shared" si="11"/>
        <v>13.949702369493712</v>
      </c>
      <c r="Y121" s="62">
        <f t="shared" si="11"/>
        <v>90.705683469252364</v>
      </c>
      <c r="Z121" s="58">
        <f t="shared" si="19"/>
        <v>2.2080112782656132</v>
      </c>
      <c r="AA121" s="58">
        <f t="shared" si="20"/>
        <v>-88.41470453596294</v>
      </c>
      <c r="AB121" s="58">
        <f t="shared" si="12"/>
        <v>13.944386820223848</v>
      </c>
      <c r="AC121" s="58">
        <f t="shared" si="12"/>
        <v>87.926612862104818</v>
      </c>
    </row>
    <row r="122" spans="2:29" ht="15.75" customHeight="1" x14ac:dyDescent="0.2">
      <c r="Q122" s="6">
        <v>3</v>
      </c>
      <c r="R122" s="6">
        <f t="shared" si="21"/>
        <v>1200</v>
      </c>
      <c r="S122" s="61">
        <f t="shared" si="13"/>
        <v>7539.8223686155034</v>
      </c>
      <c r="T122" s="62">
        <f t="shared" si="15"/>
        <v>0.63746949702667766</v>
      </c>
      <c r="U122" s="62">
        <f t="shared" si="16"/>
        <v>-85.396818498120268</v>
      </c>
      <c r="V122" s="62">
        <f t="shared" si="17"/>
        <v>11.732569411333731</v>
      </c>
      <c r="W122" s="62">
        <f t="shared" si="18"/>
        <v>176.11221678127501</v>
      </c>
      <c r="X122" s="62">
        <f t="shared" si="11"/>
        <v>12.370038908360408</v>
      </c>
      <c r="Y122" s="62">
        <f t="shared" si="11"/>
        <v>90.715398283154741</v>
      </c>
      <c r="Z122" s="58">
        <f t="shared" si="19"/>
        <v>0.62563404698293679</v>
      </c>
      <c r="AA122" s="58">
        <f t="shared" si="20"/>
        <v>-88.730334475012427</v>
      </c>
      <c r="AB122" s="58">
        <f t="shared" si="12"/>
        <v>12.358203458316668</v>
      </c>
      <c r="AC122" s="58">
        <f t="shared" si="12"/>
        <v>87.381882306262582</v>
      </c>
    </row>
    <row r="123" spans="2:29" ht="15.75" customHeight="1" x14ac:dyDescent="0.2">
      <c r="C123" s="68" t="s">
        <v>210</v>
      </c>
      <c r="D123" s="69"/>
      <c r="E123" s="69"/>
      <c r="F123" s="69"/>
      <c r="G123" s="70"/>
      <c r="H123" s="71"/>
      <c r="I123" s="70"/>
      <c r="J123" s="71"/>
      <c r="K123" s="70"/>
      <c r="L123" s="70"/>
      <c r="M123" s="70"/>
      <c r="N123" s="72"/>
      <c r="Q123" s="6">
        <v>3.5</v>
      </c>
      <c r="R123" s="6">
        <f t="shared" si="21"/>
        <v>1400</v>
      </c>
      <c r="S123" s="61">
        <f t="shared" si="13"/>
        <v>8796.45943005142</v>
      </c>
      <c r="T123" s="62">
        <f t="shared" si="15"/>
        <v>-0.69299463291693475</v>
      </c>
      <c r="U123" s="62">
        <f t="shared" si="16"/>
        <v>-85.077113659868715</v>
      </c>
      <c r="V123" s="62">
        <f t="shared" si="17"/>
        <v>11.728512598903379</v>
      </c>
      <c r="W123" s="62">
        <f t="shared" si="18"/>
        <v>175.81830503657324</v>
      </c>
      <c r="X123" s="62">
        <f t="shared" si="11"/>
        <v>11.035517965986443</v>
      </c>
      <c r="Y123" s="62">
        <f t="shared" si="11"/>
        <v>90.741191376704521</v>
      </c>
      <c r="Z123" s="58">
        <f t="shared" si="19"/>
        <v>-0.71252389530577576</v>
      </c>
      <c r="AA123" s="58">
        <f t="shared" si="20"/>
        <v>-88.963865047616608</v>
      </c>
      <c r="AB123" s="58">
        <f t="shared" si="12"/>
        <v>11.015988703597603</v>
      </c>
      <c r="AC123" s="58">
        <f t="shared" si="12"/>
        <v>86.854439988956628</v>
      </c>
    </row>
    <row r="124" spans="2:29" ht="15.75" customHeight="1" x14ac:dyDescent="0.2">
      <c r="C124" s="73" t="s">
        <v>39</v>
      </c>
      <c r="D124" s="74"/>
      <c r="E124" s="74"/>
      <c r="F124" s="74"/>
      <c r="G124" s="75"/>
      <c r="H124" s="76"/>
      <c r="I124" s="75"/>
      <c r="J124" s="76"/>
      <c r="K124" s="75"/>
      <c r="L124" s="75"/>
      <c r="M124" s="75"/>
      <c r="N124" s="77"/>
      <c r="Q124" s="6">
        <v>4</v>
      </c>
      <c r="R124" s="6">
        <f t="shared" si="21"/>
        <v>1600</v>
      </c>
      <c r="S124" s="61">
        <f t="shared" si="13"/>
        <v>10053.096491487338</v>
      </c>
      <c r="T124" s="62">
        <f t="shared" si="15"/>
        <v>-1.843441735261329</v>
      </c>
      <c r="U124" s="62">
        <f t="shared" si="16"/>
        <v>-84.707437378750171</v>
      </c>
      <c r="V124" s="62">
        <f t="shared" si="17"/>
        <v>11.72406603240433</v>
      </c>
      <c r="W124" s="62">
        <f t="shared" si="18"/>
        <v>175.48406593595777</v>
      </c>
      <c r="X124" s="62">
        <f t="shared" si="11"/>
        <v>9.8806242971430009</v>
      </c>
      <c r="Y124" s="62">
        <f t="shared" si="11"/>
        <v>90.776628557207601</v>
      </c>
      <c r="Z124" s="58">
        <f t="shared" si="19"/>
        <v>-1.8718317680761065</v>
      </c>
      <c r="AA124" s="58">
        <f t="shared" si="20"/>
        <v>-89.146065973704694</v>
      </c>
      <c r="AB124" s="58">
        <f t="shared" si="12"/>
        <v>9.8522342643282244</v>
      </c>
      <c r="AC124" s="58">
        <f t="shared" si="12"/>
        <v>86.337999962253079</v>
      </c>
    </row>
    <row r="125" spans="2:29" ht="15.75" customHeight="1" x14ac:dyDescent="0.2">
      <c r="C125" s="78" t="s">
        <v>40</v>
      </c>
      <c r="D125" s="74"/>
      <c r="E125" s="74"/>
      <c r="F125" s="74"/>
      <c r="G125" s="75"/>
      <c r="H125" s="76"/>
      <c r="I125" s="75"/>
      <c r="J125" s="76"/>
      <c r="K125" s="75"/>
      <c r="L125" s="75"/>
      <c r="M125" s="75"/>
      <c r="N125" s="77"/>
      <c r="Q125" s="6">
        <v>4.5</v>
      </c>
      <c r="R125" s="6">
        <f t="shared" si="21"/>
        <v>1800</v>
      </c>
      <c r="S125" s="61">
        <f t="shared" si="13"/>
        <v>11309.733552923255</v>
      </c>
      <c r="T125" s="62">
        <f t="shared" si="15"/>
        <v>-2.8560812164929406</v>
      </c>
      <c r="U125" s="62">
        <f t="shared" si="16"/>
        <v>-84.305053696009296</v>
      </c>
      <c r="V125" s="62">
        <f t="shared" si="17"/>
        <v>11.719164179703112</v>
      </c>
      <c r="W125" s="62">
        <f t="shared" si="18"/>
        <v>175.12313116092281</v>
      </c>
      <c r="X125" s="62">
        <f t="shared" si="11"/>
        <v>8.8630829632101715</v>
      </c>
      <c r="Y125" s="62">
        <f t="shared" si="11"/>
        <v>90.818077464913515</v>
      </c>
      <c r="Z125" s="58">
        <f t="shared" si="19"/>
        <v>-2.8944913334457221</v>
      </c>
      <c r="AA125" s="58">
        <f t="shared" si="20"/>
        <v>-89.294040238186213</v>
      </c>
      <c r="AB125" s="58">
        <f t="shared" si="12"/>
        <v>8.8246728462573891</v>
      </c>
      <c r="AC125" s="58">
        <f t="shared" si="12"/>
        <v>85.829090922736597</v>
      </c>
    </row>
    <row r="126" spans="2:29" ht="15.75" customHeight="1" x14ac:dyDescent="0.2">
      <c r="C126" s="73" t="s">
        <v>41</v>
      </c>
      <c r="D126" s="74"/>
      <c r="E126" s="74"/>
      <c r="F126" s="74"/>
      <c r="G126" s="75"/>
      <c r="H126" s="76"/>
      <c r="I126" s="75"/>
      <c r="J126" s="76"/>
      <c r="K126" s="75"/>
      <c r="L126" s="75"/>
      <c r="M126" s="75"/>
      <c r="N126" s="77"/>
      <c r="Q126" s="6">
        <v>5</v>
      </c>
      <c r="R126" s="6">
        <f t="shared" si="21"/>
        <v>2000</v>
      </c>
      <c r="S126" s="61">
        <f t="shared" si="13"/>
        <v>12566.370614359172</v>
      </c>
      <c r="T126" s="62">
        <f t="shared" si="15"/>
        <v>-3.7597532309401061</v>
      </c>
      <c r="U126" s="62">
        <f t="shared" si="16"/>
        <v>-83.880393984714601</v>
      </c>
      <c r="V126" s="62">
        <f t="shared" si="17"/>
        <v>11.713773471572871</v>
      </c>
      <c r="W126" s="62">
        <f t="shared" si="18"/>
        <v>174.74370396588222</v>
      </c>
      <c r="X126" s="62">
        <f t="shared" si="11"/>
        <v>7.9540202406327651</v>
      </c>
      <c r="Y126" s="62">
        <f t="shared" si="11"/>
        <v>90.863309981167617</v>
      </c>
      <c r="Z126" s="58">
        <f t="shared" si="19"/>
        <v>-3.8093342858101282</v>
      </c>
      <c r="AA126" s="58">
        <f t="shared" si="20"/>
        <v>-89.418053086739619</v>
      </c>
      <c r="AB126" s="58">
        <f t="shared" si="12"/>
        <v>7.904439185762743</v>
      </c>
      <c r="AC126" s="58">
        <f t="shared" si="12"/>
        <v>85.3256508791426</v>
      </c>
    </row>
    <row r="127" spans="2:29" ht="15.75" customHeight="1" x14ac:dyDescent="0.2">
      <c r="C127" s="79" t="s">
        <v>42</v>
      </c>
      <c r="D127" s="80"/>
      <c r="E127" s="80"/>
      <c r="F127" s="80"/>
      <c r="G127" s="81"/>
      <c r="H127" s="82"/>
      <c r="I127" s="81"/>
      <c r="J127" s="82"/>
      <c r="K127" s="81"/>
      <c r="L127" s="81"/>
      <c r="M127" s="81"/>
      <c r="N127" s="83"/>
      <c r="Q127" s="6">
        <v>5.5</v>
      </c>
      <c r="R127" s="6">
        <f t="shared" si="21"/>
        <v>2200</v>
      </c>
      <c r="S127" s="61">
        <f t="shared" si="13"/>
        <v>13823.00767579509</v>
      </c>
      <c r="T127" s="62">
        <f t="shared" si="15"/>
        <v>-4.5750397530273981</v>
      </c>
      <c r="U127" s="62">
        <f t="shared" si="16"/>
        <v>-83.440159769197066</v>
      </c>
      <c r="V127" s="62">
        <f t="shared" si="17"/>
        <v>11.707875834034967</v>
      </c>
      <c r="W127" s="62">
        <f t="shared" si="18"/>
        <v>174.35102565652886</v>
      </c>
      <c r="X127" s="62">
        <f t="shared" si="11"/>
        <v>7.1328360810075688</v>
      </c>
      <c r="Y127" s="62">
        <f t="shared" si="11"/>
        <v>90.910865887331795</v>
      </c>
      <c r="Z127" s="58">
        <f t="shared" si="19"/>
        <v>-4.636933289126123</v>
      </c>
      <c r="AA127" s="58">
        <f t="shared" si="20"/>
        <v>-89.52463851463007</v>
      </c>
      <c r="AB127" s="58">
        <f t="shared" si="12"/>
        <v>7.0709425449088439</v>
      </c>
      <c r="AC127" s="58">
        <f t="shared" si="12"/>
        <v>84.826387141898792</v>
      </c>
    </row>
    <row r="128" spans="2:29" ht="15.75" customHeight="1" x14ac:dyDescent="0.2">
      <c r="B128" s="74"/>
      <c r="C128" s="74"/>
      <c r="D128" s="74"/>
      <c r="E128" s="74"/>
      <c r="F128" s="75"/>
      <c r="G128" s="76"/>
      <c r="H128" s="75"/>
      <c r="I128" s="76"/>
      <c r="J128" s="75"/>
      <c r="K128" s="75"/>
      <c r="L128" s="75"/>
      <c r="M128" s="75"/>
      <c r="Q128" s="6">
        <v>6</v>
      </c>
      <c r="R128" s="6">
        <f t="shared" si="21"/>
        <v>2400</v>
      </c>
      <c r="S128" s="61">
        <f t="shared" si="13"/>
        <v>15079.644737231007</v>
      </c>
      <c r="T128" s="62">
        <f t="shared" si="15"/>
        <v>-5.3171453949327629</v>
      </c>
      <c r="U128" s="62">
        <f t="shared" si="16"/>
        <v>-82.988874810619649</v>
      </c>
      <c r="V128" s="62">
        <f t="shared" si="17"/>
        <v>11.701461383004272</v>
      </c>
      <c r="W128" s="62">
        <f t="shared" si="18"/>
        <v>173.94860921001367</v>
      </c>
      <c r="X128" s="62">
        <f t="shared" si="11"/>
        <v>6.384315988071509</v>
      </c>
      <c r="Y128" s="62">
        <f t="shared" si="11"/>
        <v>90.959734399394023</v>
      </c>
      <c r="Z128" s="58">
        <f t="shared" si="19"/>
        <v>-5.392482793714052</v>
      </c>
      <c r="AA128" s="58">
        <f t="shared" si="20"/>
        <v>-89.618153314108611</v>
      </c>
      <c r="AB128" s="58">
        <f t="shared" si="12"/>
        <v>6.3089785892902199</v>
      </c>
      <c r="AC128" s="58">
        <f t="shared" si="12"/>
        <v>84.330455895905061</v>
      </c>
    </row>
    <row r="129" spans="17:29" ht="15.75" customHeight="1" x14ac:dyDescent="0.2">
      <c r="Q129" s="6">
        <v>6.5</v>
      </c>
      <c r="R129" s="6">
        <f t="shared" si="21"/>
        <v>2600</v>
      </c>
      <c r="S129" s="61">
        <f t="shared" si="13"/>
        <v>16336.281798666923</v>
      </c>
      <c r="T129" s="62">
        <f t="shared" si="15"/>
        <v>-5.997622452600833</v>
      </c>
      <c r="U129" s="62">
        <f t="shared" si="16"/>
        <v>-82.529721040894358</v>
      </c>
      <c r="V129" s="62">
        <f t="shared" si="17"/>
        <v>11.694524885624858</v>
      </c>
      <c r="W129" s="62">
        <f t="shared" si="18"/>
        <v>173.53890366605023</v>
      </c>
      <c r="X129" s="62">
        <f t="shared" si="11"/>
        <v>5.6969024330240252</v>
      </c>
      <c r="Y129" s="62">
        <f t="shared" si="11"/>
        <v>91.009182625155873</v>
      </c>
      <c r="Z129" s="58">
        <f t="shared" si="19"/>
        <v>-6.0875240966099771</v>
      </c>
      <c r="AA129" s="58">
        <f t="shared" si="20"/>
        <v>-89.701614173966675</v>
      </c>
      <c r="AB129" s="58">
        <f t="shared" si="12"/>
        <v>5.6070007890148812</v>
      </c>
      <c r="AC129" s="58">
        <f t="shared" si="12"/>
        <v>83.837289492083556</v>
      </c>
    </row>
    <row r="130" spans="17:29" ht="15.75" customHeight="1" x14ac:dyDescent="0.2">
      <c r="Q130" s="6">
        <v>7</v>
      </c>
      <c r="R130" s="6">
        <f t="shared" si="21"/>
        <v>2800</v>
      </c>
      <c r="S130" s="61">
        <f t="shared" si="13"/>
        <v>17592.91886010284</v>
      </c>
      <c r="T130" s="62">
        <f t="shared" si="15"/>
        <v>-6.6254554382066164</v>
      </c>
      <c r="U130" s="62">
        <f t="shared" si="16"/>
        <v>-82.065016272579939</v>
      </c>
      <c r="V130" s="62">
        <f t="shared" si="17"/>
        <v>11.687063920885079</v>
      </c>
      <c r="W130" s="62">
        <f t="shared" si="18"/>
        <v>173.12367382636313</v>
      </c>
      <c r="X130" s="62">
        <f t="shared" si="11"/>
        <v>5.0616084826784622</v>
      </c>
      <c r="Y130" s="62">
        <f t="shared" si="11"/>
        <v>91.058657553783192</v>
      </c>
      <c r="Z130" s="58">
        <f t="shared" si="19"/>
        <v>-6.7310298962133679</v>
      </c>
      <c r="AA130" s="58">
        <f t="shared" si="20"/>
        <v>-89.777176149851442</v>
      </c>
      <c r="AB130" s="58">
        <f t="shared" si="12"/>
        <v>4.9560340246717107</v>
      </c>
      <c r="AC130" s="58">
        <f t="shared" si="12"/>
        <v>83.346497676511689</v>
      </c>
    </row>
    <row r="131" spans="17:29" ht="15.75" customHeight="1" x14ac:dyDescent="0.2">
      <c r="Q131" s="6">
        <v>7.5</v>
      </c>
      <c r="R131" s="6">
        <f t="shared" si="21"/>
        <v>3000</v>
      </c>
      <c r="S131" s="61">
        <f t="shared" si="13"/>
        <v>18849.555921538758</v>
      </c>
      <c r="T131" s="62">
        <f t="shared" si="15"/>
        <v>-7.2077708294237368</v>
      </c>
      <c r="U131" s="62">
        <f t="shared" si="16"/>
        <v>-81.596500801447306</v>
      </c>
      <c r="V131" s="62">
        <f t="shared" si="17"/>
        <v>11.679077866254994</v>
      </c>
      <c r="W131" s="62">
        <f t="shared" si="18"/>
        <v>172.70422808847206</v>
      </c>
      <c r="X131" s="62">
        <f t="shared" si="11"/>
        <v>4.4713070368312575</v>
      </c>
      <c r="Y131" s="62">
        <f t="shared" si="11"/>
        <v>91.107727287024758</v>
      </c>
      <c r="Z131" s="58">
        <f t="shared" si="19"/>
        <v>-7.3301140683929695</v>
      </c>
      <c r="AA131" s="58">
        <f t="shared" si="20"/>
        <v>-89.846419804410743</v>
      </c>
      <c r="AB131" s="58">
        <f t="shared" si="12"/>
        <v>4.3489637978620248</v>
      </c>
      <c r="AC131" s="58">
        <f t="shared" si="12"/>
        <v>82.857808284061321</v>
      </c>
    </row>
    <row r="132" spans="17:29" ht="15.75" customHeight="1" x14ac:dyDescent="0.2">
      <c r="Q132" s="6">
        <v>8</v>
      </c>
      <c r="R132" s="6">
        <f t="shared" si="21"/>
        <v>3200</v>
      </c>
      <c r="S132" s="61">
        <f t="shared" si="13"/>
        <v>20106.192982974677</v>
      </c>
      <c r="T132" s="62">
        <f t="shared" si="15"/>
        <v>-7.7503174366679284</v>
      </c>
      <c r="U132" s="62">
        <f t="shared" si="16"/>
        <v>-81.125516491395331</v>
      </c>
      <c r="V132" s="62">
        <f t="shared" si="17"/>
        <v>11.670567311283531</v>
      </c>
      <c r="W132" s="62">
        <f t="shared" si="18"/>
        <v>172.28156084241169</v>
      </c>
      <c r="X132" s="62">
        <f t="shared" si="11"/>
        <v>3.9202498746156023</v>
      </c>
      <c r="Y132" s="62">
        <f t="shared" si="11"/>
        <v>91.156044351016362</v>
      </c>
      <c r="Z132" s="58">
        <f t="shared" si="19"/>
        <v>-7.8905120636647386</v>
      </c>
      <c r="AA132" s="58">
        <f t="shared" si="20"/>
        <v>-89.910530697976327</v>
      </c>
      <c r="AB132" s="58">
        <f t="shared" si="12"/>
        <v>3.7800552476187921</v>
      </c>
      <c r="AC132" s="58">
        <f t="shared" si="12"/>
        <v>82.371030144435366</v>
      </c>
    </row>
    <row r="133" spans="17:29" ht="15.75" customHeight="1" x14ac:dyDescent="0.2">
      <c r="Q133" s="6">
        <v>8.5</v>
      </c>
      <c r="R133" s="6">
        <f t="shared" si="21"/>
        <v>3400</v>
      </c>
      <c r="S133" s="61">
        <f t="shared" si="13"/>
        <v>21362.830044410592</v>
      </c>
      <c r="T133" s="62">
        <f t="shared" si="15"/>
        <v>-8.2578009612771872</v>
      </c>
      <c r="U133" s="62">
        <f t="shared" si="16"/>
        <v>-80.653122607900301</v>
      </c>
      <c r="V133" s="62">
        <f t="shared" si="17"/>
        <v>11.661533703535023</v>
      </c>
      <c r="W133" s="62">
        <f t="shared" si="18"/>
        <v>171.85644460481575</v>
      </c>
      <c r="X133" s="62">
        <f t="shared" si="11"/>
        <v>3.4037327422578354</v>
      </c>
      <c r="Y133" s="62">
        <f t="shared" si="11"/>
        <v>91.203321996915449</v>
      </c>
      <c r="Z133" s="58">
        <f t="shared" si="19"/>
        <v>-8.4169154975671034</v>
      </c>
      <c r="AA133" s="58">
        <f t="shared" si="20"/>
        <v>-89.970415543987585</v>
      </c>
      <c r="AB133" s="58">
        <f t="shared" si="12"/>
        <v>3.2446182059679192</v>
      </c>
      <c r="AC133" s="58">
        <f t="shared" si="12"/>
        <v>81.886029060828164</v>
      </c>
    </row>
    <row r="134" spans="17:29" ht="15.75" customHeight="1" x14ac:dyDescent="0.2">
      <c r="Q134" s="6">
        <v>9</v>
      </c>
      <c r="R134" s="6">
        <f t="shared" si="21"/>
        <v>3600</v>
      </c>
      <c r="S134" s="61">
        <f t="shared" si="13"/>
        <v>22619.46710584651</v>
      </c>
      <c r="T134" s="62">
        <f t="shared" si="15"/>
        <v>-8.7341228208879134</v>
      </c>
      <c r="U134" s="62">
        <f t="shared" si="16"/>
        <v>-80.180172997960113</v>
      </c>
      <c r="V134" s="62">
        <f t="shared" si="17"/>
        <v>11.651979126607618</v>
      </c>
      <c r="W134" s="62">
        <f t="shared" si="18"/>
        <v>171.42949143449283</v>
      </c>
      <c r="X134" s="62">
        <f t="shared" si="11"/>
        <v>2.9178563057197042</v>
      </c>
      <c r="Y134" s="62">
        <f t="shared" si="11"/>
        <v>91.249318436532718</v>
      </c>
      <c r="Z134" s="58">
        <f t="shared" si="19"/>
        <v>-8.9132110099700661</v>
      </c>
      <c r="AA134" s="58">
        <f t="shared" si="20"/>
        <v>-90.026779653672747</v>
      </c>
      <c r="AB134" s="58">
        <f t="shared" si="12"/>
        <v>2.7387681166375515</v>
      </c>
      <c r="AC134" s="58">
        <f t="shared" si="12"/>
        <v>81.402711780820084</v>
      </c>
    </row>
    <row r="135" spans="17:29" ht="15.75" customHeight="1" x14ac:dyDescent="0.2">
      <c r="Q135" s="6">
        <v>9.5</v>
      </c>
      <c r="R135" s="6">
        <f t="shared" si="21"/>
        <v>3800</v>
      </c>
      <c r="S135" s="61">
        <f t="shared" si="13"/>
        <v>23876.104167282429</v>
      </c>
      <c r="T135" s="62">
        <f t="shared" si="15"/>
        <v>-9.1825543368165423</v>
      </c>
      <c r="U135" s="62">
        <f t="shared" si="16"/>
        <v>-79.70736886010171</v>
      </c>
      <c r="V135" s="62">
        <f t="shared" si="17"/>
        <v>11.641906156115706</v>
      </c>
      <c r="W135" s="62">
        <f t="shared" si="18"/>
        <v>171.00119494581011</v>
      </c>
      <c r="X135" s="62">
        <f t="shared" si="11"/>
        <v>2.4593518192991635</v>
      </c>
      <c r="Y135" s="62">
        <f t="shared" si="11"/>
        <v>91.293826085708403</v>
      </c>
      <c r="Z135" s="58">
        <f t="shared" si="19"/>
        <v>-9.3826544877730331</v>
      </c>
      <c r="AA135" s="58">
        <f t="shared" si="20"/>
        <v>-90.080179928842412</v>
      </c>
      <c r="AB135" s="58">
        <f t="shared" si="12"/>
        <v>2.2592516683426727</v>
      </c>
      <c r="AC135" s="58">
        <f t="shared" si="12"/>
        <v>80.921015016967701</v>
      </c>
    </row>
    <row r="136" spans="17:29" ht="15.75" customHeight="1" x14ac:dyDescent="0.2">
      <c r="Q136" s="6">
        <v>1</v>
      </c>
      <c r="R136" s="6">
        <f t="shared" ref="R136:R153" si="22">FSW*1000*Q136/100</f>
        <v>4000</v>
      </c>
      <c r="S136" s="61">
        <f t="shared" si="13"/>
        <v>25132.741228718343</v>
      </c>
      <c r="T136" s="62">
        <f t="shared" si="15"/>
        <v>-9.6058661984446569</v>
      </c>
      <c r="U136" s="62">
        <f t="shared" si="16"/>
        <v>-79.235295651883476</v>
      </c>
      <c r="V136" s="62">
        <f t="shared" si="17"/>
        <v>11.631317763218675</v>
      </c>
      <c r="W136" s="62">
        <f t="shared" si="18"/>
        <v>170.57195971031712</v>
      </c>
      <c r="X136" s="62">
        <f t="shared" si="11"/>
        <v>2.0254515647740181</v>
      </c>
      <c r="Y136" s="62">
        <f t="shared" si="11"/>
        <v>91.336664058433641</v>
      </c>
      <c r="Z136" s="58">
        <f t="shared" si="19"/>
        <v>-9.8280005657072564</v>
      </c>
      <c r="AA136" s="58">
        <f t="shared" si="20"/>
        <v>-90.13106195935454</v>
      </c>
      <c r="AB136" s="58">
        <f t="shared" si="12"/>
        <v>1.8033171975114186</v>
      </c>
      <c r="AC136" s="58">
        <f t="shared" si="12"/>
        <v>80.440897750962577</v>
      </c>
    </row>
    <row r="137" spans="17:29" ht="15.75" customHeight="1" x14ac:dyDescent="0.2">
      <c r="Q137" s="6">
        <v>1.5</v>
      </c>
      <c r="R137" s="6">
        <f t="shared" si="22"/>
        <v>6000</v>
      </c>
      <c r="S137" s="61">
        <f t="shared" si="13"/>
        <v>37699.111843077517</v>
      </c>
      <c r="T137" s="62">
        <f t="shared" si="15"/>
        <v>-12.852900284842843</v>
      </c>
      <c r="U137" s="62">
        <f t="shared" si="16"/>
        <v>-74.637686831418875</v>
      </c>
      <c r="V137" s="62">
        <f t="shared" si="17"/>
        <v>11.497929468616963</v>
      </c>
      <c r="W137" s="62">
        <f t="shared" si="18"/>
        <v>166.28272293079507</v>
      </c>
      <c r="X137" s="62">
        <f t="shared" si="11"/>
        <v>-1.3549708162258796</v>
      </c>
      <c r="Y137" s="62">
        <f t="shared" si="11"/>
        <v>91.645036099376199</v>
      </c>
      <c r="Z137" s="58">
        <f t="shared" si="19"/>
        <v>-13.3477013454239</v>
      </c>
      <c r="AA137" s="58">
        <f t="shared" si="20"/>
        <v>-90.556958641991628</v>
      </c>
      <c r="AB137" s="58">
        <f t="shared" si="12"/>
        <v>-1.8497718768069369</v>
      </c>
      <c r="AC137" s="58">
        <f t="shared" si="12"/>
        <v>75.725764288803447</v>
      </c>
    </row>
    <row r="138" spans="17:29" ht="15.75" customHeight="1" x14ac:dyDescent="0.2">
      <c r="Q138" s="6">
        <v>2</v>
      </c>
      <c r="R138" s="6">
        <f t="shared" si="22"/>
        <v>8000</v>
      </c>
      <c r="S138" s="61">
        <f t="shared" si="13"/>
        <v>50265.482457436687</v>
      </c>
      <c r="T138" s="62">
        <f t="shared" si="15"/>
        <v>-14.994760725576462</v>
      </c>
      <c r="U138" s="62">
        <f t="shared" si="16"/>
        <v>-70.411119298783134</v>
      </c>
      <c r="V138" s="62">
        <f t="shared" si="17"/>
        <v>11.317893827600074</v>
      </c>
      <c r="W138" s="62">
        <f t="shared" si="18"/>
        <v>162.09271945286926</v>
      </c>
      <c r="X138" s="62">
        <f t="shared" si="11"/>
        <v>-3.6768668979763888</v>
      </c>
      <c r="Y138" s="62">
        <f t="shared" si="11"/>
        <v>91.681600154086127</v>
      </c>
      <c r="Z138" s="58">
        <f t="shared" si="19"/>
        <v>-15.843652447452017</v>
      </c>
      <c r="AA138" s="58">
        <f t="shared" si="20"/>
        <v>-90.91177776614829</v>
      </c>
      <c r="AB138" s="58">
        <f t="shared" si="12"/>
        <v>-4.5257586198519437</v>
      </c>
      <c r="AC138" s="58">
        <f t="shared" si="12"/>
        <v>71.180941686720971</v>
      </c>
    </row>
    <row r="139" spans="17:29" ht="15.75" customHeight="1" x14ac:dyDescent="0.2">
      <c r="Q139" s="6">
        <v>2.5</v>
      </c>
      <c r="R139" s="6">
        <f t="shared" si="22"/>
        <v>10000</v>
      </c>
      <c r="S139" s="61">
        <f t="shared" si="13"/>
        <v>62831.853071795864</v>
      </c>
      <c r="T139" s="62">
        <f t="shared" si="15"/>
        <v>-16.514351278932949</v>
      </c>
      <c r="U139" s="62">
        <f t="shared" si="16"/>
        <v>-66.656962509024524</v>
      </c>
      <c r="V139" s="62">
        <f t="shared" si="17"/>
        <v>11.0968938145532</v>
      </c>
      <c r="W139" s="62">
        <f t="shared" si="18"/>
        <v>158.07183182618286</v>
      </c>
      <c r="X139" s="62">
        <f t="shared" si="11"/>
        <v>-5.4174574643797495</v>
      </c>
      <c r="Y139" s="62">
        <f t="shared" si="11"/>
        <v>91.414869317158335</v>
      </c>
      <c r="Z139" s="58">
        <f t="shared" si="19"/>
        <v>-17.778273370729295</v>
      </c>
      <c r="AA139" s="58">
        <f t="shared" si="20"/>
        <v>-91.238956645137847</v>
      </c>
      <c r="AB139" s="58">
        <f t="shared" si="12"/>
        <v>-6.6813795561760951</v>
      </c>
      <c r="AC139" s="58">
        <f t="shared" si="12"/>
        <v>66.832875181045011</v>
      </c>
    </row>
    <row r="140" spans="17:29" ht="15.75" customHeight="1" x14ac:dyDescent="0.2">
      <c r="Q140" s="6">
        <v>3</v>
      </c>
      <c r="R140" s="6">
        <f t="shared" si="22"/>
        <v>12000</v>
      </c>
      <c r="S140" s="61">
        <f t="shared" si="13"/>
        <v>75398.223686155034</v>
      </c>
      <c r="T140" s="62">
        <f t="shared" si="15"/>
        <v>-17.637052738573264</v>
      </c>
      <c r="U140" s="62">
        <f t="shared" si="16"/>
        <v>-63.404789703454469</v>
      </c>
      <c r="V140" s="62">
        <f t="shared" si="17"/>
        <v>10.841223886805132</v>
      </c>
      <c r="W140" s="62">
        <f t="shared" si="18"/>
        <v>154.25639956466321</v>
      </c>
      <c r="X140" s="62">
        <f t="shared" si="11"/>
        <v>-6.7958288517681318</v>
      </c>
      <c r="Y140" s="62">
        <f t="shared" si="11"/>
        <v>90.851609861208743</v>
      </c>
      <c r="Z140" s="58">
        <f t="shared" si="19"/>
        <v>-19.357556319171099</v>
      </c>
      <c r="AA140" s="58">
        <f t="shared" si="20"/>
        <v>-91.553159892353023</v>
      </c>
      <c r="AB140" s="58">
        <f t="shared" si="12"/>
        <v>-8.5163324323659673</v>
      </c>
      <c r="AC140" s="58">
        <f t="shared" si="12"/>
        <v>62.70323967231019</v>
      </c>
    </row>
    <row r="141" spans="17:29" ht="15.75" customHeight="1" x14ac:dyDescent="0.2">
      <c r="Q141" s="6">
        <v>3.5</v>
      </c>
      <c r="R141" s="6">
        <f t="shared" si="22"/>
        <v>14000</v>
      </c>
      <c r="S141" s="61">
        <f t="shared" si="13"/>
        <v>87964.594300514203</v>
      </c>
      <c r="T141" s="62">
        <f t="shared" si="15"/>
        <v>-18.489355324747422</v>
      </c>
      <c r="U141" s="62">
        <f t="shared" si="16"/>
        <v>-60.644816186709654</v>
      </c>
      <c r="V141" s="62">
        <f t="shared" si="17"/>
        <v>10.557281781367983</v>
      </c>
      <c r="W141" s="62">
        <f t="shared" si="18"/>
        <v>150.66595286553775</v>
      </c>
      <c r="X141" s="62">
        <f t="shared" si="11"/>
        <v>-7.9320735433794383</v>
      </c>
      <c r="Y141" s="62">
        <f t="shared" si="11"/>
        <v>90.0211366788281</v>
      </c>
      <c r="Z141" s="58">
        <f t="shared" si="19"/>
        <v>-20.691392724327606</v>
      </c>
      <c r="AA141" s="58">
        <f t="shared" si="20"/>
        <v>-91.86082876050348</v>
      </c>
      <c r="AB141" s="58">
        <f t="shared" si="12"/>
        <v>-10.134110942959623</v>
      </c>
      <c r="AC141" s="58">
        <f t="shared" si="12"/>
        <v>58.805124105034267</v>
      </c>
    </row>
    <row r="142" spans="17:29" ht="15.75" customHeight="1" x14ac:dyDescent="0.2">
      <c r="Q142" s="6">
        <v>4</v>
      </c>
      <c r="R142" s="6">
        <f t="shared" si="22"/>
        <v>16000</v>
      </c>
      <c r="S142" s="61">
        <f t="shared" si="13"/>
        <v>100530.96491487337</v>
      </c>
      <c r="T142" s="62">
        <f t="shared" si="15"/>
        <v>-19.150068749778004</v>
      </c>
      <c r="U142" s="62">
        <f t="shared" si="16"/>
        <v>-58.345178527338959</v>
      </c>
      <c r="V142" s="62">
        <f t="shared" si="17"/>
        <v>10.251183604277028</v>
      </c>
      <c r="W142" s="62">
        <f t="shared" si="18"/>
        <v>147.30858365317781</v>
      </c>
      <c r="X142" s="62">
        <f t="shared" si="11"/>
        <v>-8.8988851455009765</v>
      </c>
      <c r="Y142" s="62">
        <f t="shared" si="11"/>
        <v>88.963405125838847</v>
      </c>
      <c r="Z142" s="58">
        <f t="shared" si="19"/>
        <v>-21.84538506365255</v>
      </c>
      <c r="AA142" s="58">
        <f t="shared" si="20"/>
        <v>-92.165318304399364</v>
      </c>
      <c r="AB142" s="58">
        <f t="shared" si="12"/>
        <v>-11.594201459375522</v>
      </c>
      <c r="AC142" s="58">
        <f t="shared" si="12"/>
        <v>55.143265348778442</v>
      </c>
    </row>
    <row r="143" spans="17:29" ht="15.75" customHeight="1" x14ac:dyDescent="0.2">
      <c r="Q143" s="6">
        <v>4.5</v>
      </c>
      <c r="R143" s="6">
        <f t="shared" si="22"/>
        <v>18000</v>
      </c>
      <c r="S143" s="61">
        <f t="shared" si="13"/>
        <v>113097.33552923256</v>
      </c>
      <c r="T143" s="62">
        <f t="shared" si="15"/>
        <v>-19.671448714404281</v>
      </c>
      <c r="U143" s="62">
        <f t="shared" si="16"/>
        <v>-56.463393150193859</v>
      </c>
      <c r="V143" s="62">
        <f t="shared" si="17"/>
        <v>9.9285063081560487</v>
      </c>
      <c r="W143" s="62">
        <f t="shared" si="18"/>
        <v>144.18404608407712</v>
      </c>
      <c r="X143" s="62">
        <f t="shared" si="11"/>
        <v>-9.7429424062482326</v>
      </c>
      <c r="Y143" s="62">
        <f t="shared" si="11"/>
        <v>87.720652933883258</v>
      </c>
      <c r="Z143" s="58">
        <f t="shared" si="19"/>
        <v>-22.861854909360176</v>
      </c>
      <c r="AA143" s="58">
        <f t="shared" si="20"/>
        <v>-92.468609437776109</v>
      </c>
      <c r="AB143" s="58">
        <f t="shared" si="12"/>
        <v>-12.933348601204127</v>
      </c>
      <c r="AC143" s="58">
        <f t="shared" si="12"/>
        <v>51.715436646301015</v>
      </c>
    </row>
    <row r="144" spans="17:29" ht="15.75" customHeight="1" x14ac:dyDescent="0.2">
      <c r="Q144" s="6">
        <v>5</v>
      </c>
      <c r="R144" s="6">
        <f t="shared" si="22"/>
        <v>20000</v>
      </c>
      <c r="S144" s="61">
        <f t="shared" si="13"/>
        <v>125663.70614359173</v>
      </c>
      <c r="T144" s="62">
        <f t="shared" si="15"/>
        <v>-20.089531219289182</v>
      </c>
      <c r="U144" s="62">
        <f t="shared" si="16"/>
        <v>-54.953733541015112</v>
      </c>
      <c r="V144" s="62">
        <f t="shared" si="17"/>
        <v>9.5941471456049889</v>
      </c>
      <c r="W144" s="62">
        <f t="shared" si="18"/>
        <v>141.28613651208835</v>
      </c>
      <c r="X144" s="62">
        <f t="shared" si="11"/>
        <v>-10.495384073684193</v>
      </c>
      <c r="Y144" s="62">
        <f t="shared" si="11"/>
        <v>86.332402971073236</v>
      </c>
      <c r="Z144" s="58">
        <f t="shared" si="19"/>
        <v>-23.769705639528212</v>
      </c>
      <c r="AA144" s="58">
        <f t="shared" si="20"/>
        <v>-92.771993439199491</v>
      </c>
      <c r="AB144" s="58">
        <f t="shared" si="12"/>
        <v>-14.175558493923223</v>
      </c>
      <c r="AC144" s="58">
        <f t="shared" si="12"/>
        <v>48.514143072888857</v>
      </c>
    </row>
    <row r="145" spans="17:29" ht="15.75" customHeight="1" x14ac:dyDescent="0.2">
      <c r="Q145" s="6">
        <v>5.5</v>
      </c>
      <c r="R145" s="6">
        <f t="shared" si="22"/>
        <v>22000</v>
      </c>
      <c r="S145" s="61">
        <f t="shared" si="13"/>
        <v>138230.07675795088</v>
      </c>
      <c r="T145" s="62">
        <f t="shared" si="15"/>
        <v>-20.42984234864138</v>
      </c>
      <c r="U145" s="62">
        <f t="shared" si="16"/>
        <v>-53.771580466156088</v>
      </c>
      <c r="V145" s="62">
        <f t="shared" si="17"/>
        <v>9.2522762340895461</v>
      </c>
      <c r="W145" s="62">
        <f t="shared" si="18"/>
        <v>138.60463350667894</v>
      </c>
      <c r="X145" s="62">
        <f t="shared" si="11"/>
        <v>-11.177566114551833</v>
      </c>
      <c r="Y145" s="62">
        <f t="shared" si="11"/>
        <v>84.833053040522856</v>
      </c>
      <c r="Z145" s="58">
        <f t="shared" si="19"/>
        <v>-24.589559328144635</v>
      </c>
      <c r="AA145" s="58">
        <f t="shared" si="20"/>
        <v>-93.076382804791962</v>
      </c>
      <c r="AB145" s="58">
        <f t="shared" si="12"/>
        <v>-15.337283094055088</v>
      </c>
      <c r="AC145" s="58">
        <f t="shared" si="12"/>
        <v>45.528250701886975</v>
      </c>
    </row>
    <row r="146" spans="17:29" ht="15.75" customHeight="1" x14ac:dyDescent="0.2">
      <c r="Q146" s="6">
        <v>6</v>
      </c>
      <c r="R146" s="6">
        <f t="shared" si="22"/>
        <v>24000</v>
      </c>
      <c r="S146" s="61">
        <f t="shared" si="13"/>
        <v>150796.44737231007</v>
      </c>
      <c r="T146" s="62">
        <f t="shared" ref="T146:T172" si="23">20*LOG(Am*IMABS(IMDIV(IMDIV(IMDIV(COMPLEX(1,S146/wz_esr),COMPLEX(1,S146/wp_lf)),COMPLEX(1,S146/wp_esr)),COMPLEX(1-S146^2/(wn^2),S146/wp_hf))))</f>
        <v>-20.710829804557974</v>
      </c>
      <c r="U146" s="62">
        <f t="shared" ref="U146:U172" si="24">IMARGUMENT(IMDIV(IMDIV(IMDIV(COMPLEX(1,S146/wz_esr),COMPLEX(1,S146/wp_lf)),COMPLEX(1,S146/wp_esr)),COMPLEX(1-S146^2/(wn^2),S146/wp_hf)))*180/PI()</f>
        <v>-52.87569176669718</v>
      </c>
      <c r="V146" s="62">
        <f t="shared" ref="V146:V172" si="25">20*LOG(Afb*IMABS(IMDIV(IMDIV(COMPLEX(1,S146/wz_ea),COMPLEX(1,S146/wp_ea)),COMPLEX(0,S146))))</f>
        <v>8.906354276611296</v>
      </c>
      <c r="W146" s="62">
        <f t="shared" ref="W146:W172" si="26">IMARGUMENT(IMDIV(IMDIV(COMPLEX(-1,-S146/wz_ea),COMPLEX(1,S146/wp_ea)),COMPLEX(0,S146)))*180/PI()</f>
        <v>136.12684557806384</v>
      </c>
      <c r="X146" s="62">
        <f t="shared" si="11"/>
        <v>-11.804475527946678</v>
      </c>
      <c r="Y146" s="62">
        <f t="shared" si="11"/>
        <v>83.251153811366663</v>
      </c>
      <c r="Z146" s="58">
        <f t="shared" ref="Z146:Z172" si="27">20*LOG(Am*IMABS(IMDIV(IMDIV(IMDIV(COMPLEX(1,S146/wz_esr2),COMPLEX(1,S146/wp_lf2)),COMPLEX(1,S146/wp_esr2)),COMPLEX(1-S146^2/(wn^2),S146/wp_hf))))</f>
        <v>-25.33664900695981</v>
      </c>
      <c r="AA146" s="58">
        <f t="shared" ref="AA146:AA172" si="28">IMARGUMENT(IMDIV(IMDIV(IMDIV(COMPLEX(1,S146/wz_esr2),COMPLEX(1,S146/wp_lf2)),COMPLEX(1,S146/wp_esr2)),COMPLEX(1-S146^2/(wn^2),S146/wp_hf)))*180/PI()</f>
        <v>-93.382466417948237</v>
      </c>
      <c r="AB146" s="58">
        <f t="shared" si="12"/>
        <v>-16.430294730348514</v>
      </c>
      <c r="AC146" s="58">
        <f t="shared" si="12"/>
        <v>42.744379160115599</v>
      </c>
    </row>
    <row r="147" spans="17:29" ht="15.75" customHeight="1" x14ac:dyDescent="0.2">
      <c r="Q147" s="6">
        <v>6.5</v>
      </c>
      <c r="R147" s="6">
        <f t="shared" si="22"/>
        <v>26000</v>
      </c>
      <c r="S147" s="61">
        <f t="shared" si="13"/>
        <v>163362.81798666925</v>
      </c>
      <c r="T147" s="62">
        <f t="shared" si="23"/>
        <v>-20.946044825144131</v>
      </c>
      <c r="U147" s="62">
        <f t="shared" si="24"/>
        <v>-52.229157721987477</v>
      </c>
      <c r="V147" s="62">
        <f t="shared" si="25"/>
        <v>8.55919001769999</v>
      </c>
      <c r="W147" s="62">
        <f t="shared" si="26"/>
        <v>133.83879424969865</v>
      </c>
      <c r="X147" s="62">
        <f t="shared" ref="X147:Y172" si="29">T147+V147</f>
        <v>-12.386854807444141</v>
      </c>
      <c r="Y147" s="62">
        <f t="shared" si="29"/>
        <v>81.609636527711174</v>
      </c>
      <c r="Z147" s="58">
        <f t="shared" si="27"/>
        <v>-26.022549244537405</v>
      </c>
      <c r="AA147" s="58">
        <f t="shared" si="28"/>
        <v>-93.690792872253027</v>
      </c>
      <c r="AB147" s="58">
        <f t="shared" ref="AB147:AC172" si="30">Z147+V147</f>
        <v>-17.463359226837415</v>
      </c>
      <c r="AC147" s="58">
        <f t="shared" si="30"/>
        <v>40.148001377445624</v>
      </c>
    </row>
    <row r="148" spans="17:29" ht="15.75" customHeight="1" x14ac:dyDescent="0.2">
      <c r="Q148" s="6">
        <v>7</v>
      </c>
      <c r="R148" s="6">
        <f t="shared" si="22"/>
        <v>28000</v>
      </c>
      <c r="S148" s="61">
        <f t="shared" si="13"/>
        <v>175929.18860102841</v>
      </c>
      <c r="T148" s="62">
        <f t="shared" si="23"/>
        <v>-21.145583145263185</v>
      </c>
      <c r="U148" s="62">
        <f t="shared" si="24"/>
        <v>-51.799590577249283</v>
      </c>
      <c r="V148" s="62">
        <f t="shared" si="25"/>
        <v>8.2130175832414221</v>
      </c>
      <c r="W148" s="62">
        <f t="shared" si="26"/>
        <v>131.72607628624334</v>
      </c>
      <c r="X148" s="62">
        <f t="shared" si="29"/>
        <v>-12.932565562021763</v>
      </c>
      <c r="Y148" s="62">
        <f t="shared" si="29"/>
        <v>79.926485708994051</v>
      </c>
      <c r="Z148" s="58">
        <f t="shared" si="27"/>
        <v>-26.656263543643426</v>
      </c>
      <c r="AA148" s="58">
        <f t="shared" si="28"/>
        <v>-94.001817878257128</v>
      </c>
      <c r="AB148" s="58">
        <f t="shared" si="30"/>
        <v>-18.443245960402002</v>
      </c>
      <c r="AC148" s="58">
        <f t="shared" si="30"/>
        <v>37.724258407986213</v>
      </c>
    </row>
    <row r="149" spans="17:29" ht="15.75" customHeight="1" x14ac:dyDescent="0.2">
      <c r="Q149" s="6">
        <v>7.5</v>
      </c>
      <c r="R149" s="6">
        <f t="shared" si="22"/>
        <v>30000</v>
      </c>
      <c r="S149" s="61">
        <f t="shared" si="13"/>
        <v>188495.55921538759</v>
      </c>
      <c r="T149" s="62">
        <f t="shared" si="23"/>
        <v>-21.317062229338951</v>
      </c>
      <c r="U149" s="62">
        <f t="shared" si="24"/>
        <v>-51.55890692409308</v>
      </c>
      <c r="V149" s="62">
        <f t="shared" si="25"/>
        <v>7.8695798995711765</v>
      </c>
      <c r="W149" s="62">
        <f t="shared" si="26"/>
        <v>129.77446076264366</v>
      </c>
      <c r="X149" s="62">
        <f t="shared" si="29"/>
        <v>-13.447482329767775</v>
      </c>
      <c r="Y149" s="62">
        <f t="shared" si="29"/>
        <v>78.215553838550576</v>
      </c>
      <c r="Z149" s="58">
        <f t="shared" si="27"/>
        <v>-27.244935657308652</v>
      </c>
      <c r="AA149" s="58">
        <f t="shared" si="28"/>
        <v>-94.315932522367916</v>
      </c>
      <c r="AB149" s="58">
        <f t="shared" si="30"/>
        <v>-19.375355757737474</v>
      </c>
      <c r="AC149" s="58">
        <f t="shared" si="30"/>
        <v>35.45852824027574</v>
      </c>
    </row>
    <row r="150" spans="17:29" ht="15.75" customHeight="1" x14ac:dyDescent="0.2">
      <c r="Q150" s="6">
        <v>8</v>
      </c>
      <c r="R150" s="6">
        <f t="shared" si="22"/>
        <v>32000</v>
      </c>
      <c r="S150" s="61">
        <f t="shared" si="13"/>
        <v>201061.92982974675</v>
      </c>
      <c r="T150" s="62">
        <f t="shared" si="23"/>
        <v>-21.466297311181695</v>
      </c>
      <c r="U150" s="62">
        <f t="shared" si="24"/>
        <v>-51.482921565774333</v>
      </c>
      <c r="V150" s="62">
        <f t="shared" si="25"/>
        <v>7.5302095819523815</v>
      </c>
      <c r="W150" s="62">
        <f t="shared" si="26"/>
        <v>127.97027856774227</v>
      </c>
      <c r="X150" s="62">
        <f t="shared" si="29"/>
        <v>-13.936087729229314</v>
      </c>
      <c r="Y150" s="62">
        <f t="shared" si="29"/>
        <v>76.487357001967936</v>
      </c>
      <c r="Z150" s="58">
        <f t="shared" si="27"/>
        <v>-27.794330850827308</v>
      </c>
      <c r="AA150" s="58">
        <f t="shared" si="28"/>
        <v>-94.633480762488773</v>
      </c>
      <c r="AB150" s="58">
        <f t="shared" si="30"/>
        <v>-20.264121268874927</v>
      </c>
      <c r="AC150" s="58">
        <f t="shared" si="30"/>
        <v>33.336797805253497</v>
      </c>
    </row>
    <row r="151" spans="17:29" ht="15.75" customHeight="1" x14ac:dyDescent="0.2">
      <c r="Q151" s="6">
        <v>8.5</v>
      </c>
      <c r="R151" s="6">
        <f t="shared" si="22"/>
        <v>34000</v>
      </c>
      <c r="S151" s="61">
        <f t="shared" si="13"/>
        <v>213628.30044410593</v>
      </c>
      <c r="T151" s="62">
        <f t="shared" si="23"/>
        <v>-21.597776602850139</v>
      </c>
      <c r="U151" s="62">
        <f t="shared" si="24"/>
        <v>-51.550878082262813</v>
      </c>
      <c r="V151" s="62">
        <f t="shared" si="25"/>
        <v>7.1959025821659583</v>
      </c>
      <c r="W151" s="62">
        <f t="shared" si="26"/>
        <v>126.30065671853181</v>
      </c>
      <c r="X151" s="62">
        <f t="shared" si="29"/>
        <v>-14.401874020684181</v>
      </c>
      <c r="Y151" s="62">
        <f t="shared" si="29"/>
        <v>74.749778636268999</v>
      </c>
      <c r="Z151" s="58">
        <f t="shared" si="27"/>
        <v>-28.309170988006059</v>
      </c>
      <c r="AA151" s="58">
        <f t="shared" si="28"/>
        <v>-94.954770599767656</v>
      </c>
      <c r="AB151" s="58">
        <f t="shared" si="30"/>
        <v>-21.113268405840103</v>
      </c>
      <c r="AC151" s="58">
        <f t="shared" si="30"/>
        <v>31.345886118764156</v>
      </c>
    </row>
    <row r="152" spans="17:29" ht="15.75" customHeight="1" x14ac:dyDescent="0.2">
      <c r="Q152" s="6">
        <v>9</v>
      </c>
      <c r="R152" s="6">
        <f t="shared" si="22"/>
        <v>36000</v>
      </c>
      <c r="S152" s="61">
        <f t="shared" si="13"/>
        <v>226194.67105846512</v>
      </c>
      <c r="T152" s="62">
        <f t="shared" si="23"/>
        <v>-21.714999930253278</v>
      </c>
      <c r="U152" s="62">
        <f t="shared" si="24"/>
        <v>-51.744983046647498</v>
      </c>
      <c r="V152" s="62">
        <f t="shared" si="25"/>
        <v>6.8673825365838272</v>
      </c>
      <c r="W152" s="62">
        <f t="shared" si="26"/>
        <v>124.75364126350857</v>
      </c>
      <c r="X152" s="62">
        <f t="shared" si="29"/>
        <v>-14.84761739366945</v>
      </c>
      <c r="Y152" s="62">
        <f t="shared" si="29"/>
        <v>73.008658216861079</v>
      </c>
      <c r="Z152" s="58">
        <f t="shared" si="27"/>
        <v>-28.793373675209608</v>
      </c>
      <c r="AA152" s="58">
        <f t="shared" si="28"/>
        <v>-95.280081393150056</v>
      </c>
      <c r="AB152" s="58">
        <f t="shared" si="30"/>
        <v>-21.925991138625783</v>
      </c>
      <c r="AC152" s="58">
        <f t="shared" si="30"/>
        <v>29.473559870358514</v>
      </c>
    </row>
    <row r="153" spans="17:29" ht="15.75" customHeight="1" x14ac:dyDescent="0.2">
      <c r="Q153" s="6">
        <v>9.5</v>
      </c>
      <c r="R153" s="6">
        <f t="shared" si="22"/>
        <v>38000</v>
      </c>
      <c r="S153" s="61">
        <f t="shared" si="13"/>
        <v>238761.04167282427</v>
      </c>
      <c r="T153" s="62">
        <f t="shared" si="23"/>
        <v>-21.820723015930447</v>
      </c>
      <c r="U153" s="62">
        <f t="shared" si="24"/>
        <v>-52.049976318935002</v>
      </c>
      <c r="V153" s="62">
        <f t="shared" si="25"/>
        <v>6.5451554065603315</v>
      </c>
      <c r="W153" s="62">
        <f t="shared" si="26"/>
        <v>123.31824326438637</v>
      </c>
      <c r="X153" s="62">
        <f t="shared" si="29"/>
        <v>-15.275567609370116</v>
      </c>
      <c r="Y153" s="62">
        <f t="shared" si="29"/>
        <v>71.268266945451359</v>
      </c>
      <c r="Z153" s="58">
        <f t="shared" si="27"/>
        <v>-29.250226642913866</v>
      </c>
      <c r="AA153" s="58">
        <f t="shared" si="28"/>
        <v>-95.609668745164072</v>
      </c>
      <c r="AB153" s="58">
        <f t="shared" si="30"/>
        <v>-22.705071236353533</v>
      </c>
      <c r="AC153" s="58">
        <f t="shared" si="30"/>
        <v>27.708574519222296</v>
      </c>
    </row>
    <row r="154" spans="17:29" ht="15.75" customHeight="1" x14ac:dyDescent="0.2">
      <c r="Q154" s="6">
        <v>1</v>
      </c>
      <c r="R154" s="6">
        <f t="shared" ref="R154:R172" si="31">FSW*1000*Q154/10</f>
        <v>40000</v>
      </c>
      <c r="S154" s="61">
        <f t="shared" si="13"/>
        <v>251327.41228718346</v>
      </c>
      <c r="T154" s="62">
        <f t="shared" si="23"/>
        <v>-21.91713569484439</v>
      </c>
      <c r="U154" s="62">
        <f t="shared" si="24"/>
        <v>-52.452750314349501</v>
      </c>
      <c r="V154" s="62">
        <f t="shared" si="25"/>
        <v>6.2295549338712792</v>
      </c>
      <c r="W154" s="62">
        <f t="shared" si="26"/>
        <v>121.98443385136414</v>
      </c>
      <c r="X154" s="62">
        <f t="shared" si="29"/>
        <v>-15.687580760973111</v>
      </c>
      <c r="Y154" s="62">
        <f t="shared" si="29"/>
        <v>69.531683537014644</v>
      </c>
      <c r="Z154" s="58">
        <f t="shared" si="27"/>
        <v>-29.682517327470407</v>
      </c>
      <c r="AA154" s="58">
        <f t="shared" si="28"/>
        <v>-95.943767816302199</v>
      </c>
      <c r="AB154" s="58">
        <f t="shared" si="30"/>
        <v>-23.45296239359913</v>
      </c>
      <c r="AC154" s="58">
        <f t="shared" si="30"/>
        <v>26.040666035061946</v>
      </c>
    </row>
    <row r="155" spans="17:29" ht="15.75" customHeight="1" x14ac:dyDescent="0.2">
      <c r="Q155" s="3">
        <v>1.5</v>
      </c>
      <c r="R155" s="3">
        <f t="shared" si="31"/>
        <v>60000</v>
      </c>
      <c r="S155" s="52">
        <f t="shared" si="13"/>
        <v>376991.11843077518</v>
      </c>
      <c r="T155" s="58">
        <f t="shared" si="23"/>
        <v>-22.633693769689735</v>
      </c>
      <c r="U155" s="58">
        <f t="shared" si="24"/>
        <v>-59.982265311247431</v>
      </c>
      <c r="V155" s="58">
        <f t="shared" si="25"/>
        <v>3.4451832064324934</v>
      </c>
      <c r="W155" s="58">
        <f t="shared" si="26"/>
        <v>112.60753755536338</v>
      </c>
      <c r="X155" s="58">
        <f t="shared" si="29"/>
        <v>-19.188510563257243</v>
      </c>
      <c r="Y155" s="58">
        <f t="shared" si="29"/>
        <v>52.625272244115948</v>
      </c>
      <c r="Z155" s="58">
        <f t="shared" si="27"/>
        <v>-33.053987100460859</v>
      </c>
      <c r="AA155" s="58">
        <f t="shared" si="28"/>
        <v>-99.573047546654351</v>
      </c>
      <c r="AB155" s="58">
        <f t="shared" si="30"/>
        <v>-29.608803894028366</v>
      </c>
      <c r="AC155" s="58">
        <f t="shared" si="30"/>
        <v>13.034490008709028</v>
      </c>
    </row>
    <row r="156" spans="17:29" ht="15.75" customHeight="1" x14ac:dyDescent="0.2">
      <c r="Q156" s="3">
        <v>2</v>
      </c>
      <c r="R156" s="3">
        <f t="shared" si="31"/>
        <v>80000</v>
      </c>
      <c r="S156" s="52">
        <f t="shared" ref="S156:S172" si="32">2*PI()*R156</f>
        <v>502654.82457436691</v>
      </c>
      <c r="T156" s="58">
        <f t="shared" si="23"/>
        <v>-23.254716312545924</v>
      </c>
      <c r="U156" s="58">
        <f t="shared" si="24"/>
        <v>-70.746633639622246</v>
      </c>
      <c r="V156" s="58">
        <f t="shared" si="25"/>
        <v>1.2372511047794286</v>
      </c>
      <c r="W156" s="58">
        <f t="shared" si="26"/>
        <v>107.34532416393006</v>
      </c>
      <c r="X156" s="58">
        <f t="shared" si="29"/>
        <v>-22.017465207766495</v>
      </c>
      <c r="Y156" s="58">
        <f t="shared" si="29"/>
        <v>36.598690524307813</v>
      </c>
      <c r="Z156" s="58">
        <f t="shared" si="27"/>
        <v>-35.39733060104836</v>
      </c>
      <c r="AA156" s="58">
        <f t="shared" si="28"/>
        <v>-103.8005041500883</v>
      </c>
      <c r="AB156" s="58">
        <f t="shared" si="30"/>
        <v>-34.160079496268928</v>
      </c>
      <c r="AC156" s="58">
        <f t="shared" si="30"/>
        <v>3.5448200138417576</v>
      </c>
    </row>
    <row r="157" spans="17:29" ht="15.75" customHeight="1" x14ac:dyDescent="0.2">
      <c r="Q157" s="3">
        <v>2.5</v>
      </c>
      <c r="R157" s="3">
        <f t="shared" si="31"/>
        <v>100000</v>
      </c>
      <c r="S157" s="52">
        <f t="shared" si="32"/>
        <v>628318.53071795858</v>
      </c>
      <c r="T157" s="58">
        <f t="shared" si="23"/>
        <v>-23.953809181152231</v>
      </c>
      <c r="U157" s="58">
        <f t="shared" si="24"/>
        <v>-82.733927098972288</v>
      </c>
      <c r="V157" s="58">
        <f t="shared" si="25"/>
        <v>-0.55943997687979541</v>
      </c>
      <c r="W157" s="58">
        <f t="shared" si="26"/>
        <v>104.02950603943286</v>
      </c>
      <c r="X157" s="58">
        <f t="shared" si="29"/>
        <v>-24.513249158032025</v>
      </c>
      <c r="Y157" s="58">
        <f t="shared" si="29"/>
        <v>21.295578940460572</v>
      </c>
      <c r="Z157" s="58">
        <f t="shared" si="27"/>
        <v>-37.216086664197846</v>
      </c>
      <c r="AA157" s="58">
        <f t="shared" si="28"/>
        <v>-108.63086098020125</v>
      </c>
      <c r="AB157" s="58">
        <f t="shared" si="30"/>
        <v>-37.77552664107764</v>
      </c>
      <c r="AC157" s="58">
        <f t="shared" si="30"/>
        <v>-4.6013549407683882</v>
      </c>
    </row>
    <row r="158" spans="17:29" ht="15.75" customHeight="1" x14ac:dyDescent="0.2">
      <c r="Q158" s="3">
        <v>3</v>
      </c>
      <c r="R158" s="3">
        <f t="shared" si="31"/>
        <v>120000</v>
      </c>
      <c r="S158" s="52">
        <f t="shared" si="32"/>
        <v>753982.23686155037</v>
      </c>
      <c r="T158" s="58">
        <f t="shared" si="23"/>
        <v>-24.779387094254485</v>
      </c>
      <c r="U158" s="58">
        <f t="shared" si="24"/>
        <v>-95.08330551992087</v>
      </c>
      <c r="V158" s="58">
        <f t="shared" si="25"/>
        <v>-2.0642182328397247</v>
      </c>
      <c r="W158" s="58">
        <f t="shared" si="26"/>
        <v>101.76278058215023</v>
      </c>
      <c r="X158" s="58">
        <f t="shared" si="29"/>
        <v>-26.84360532709421</v>
      </c>
      <c r="Y158" s="58">
        <f t="shared" si="29"/>
        <v>6.6794750622293577</v>
      </c>
      <c r="Z158" s="58">
        <f t="shared" si="27"/>
        <v>-38.75240629882704</v>
      </c>
      <c r="AA158" s="58">
        <f t="shared" si="28"/>
        <v>-113.95177656971929</v>
      </c>
      <c r="AB158" s="58">
        <f t="shared" si="30"/>
        <v>-40.816624531666761</v>
      </c>
      <c r="AC158" s="58">
        <f t="shared" si="30"/>
        <v>-12.188995987569058</v>
      </c>
    </row>
    <row r="159" spans="17:29" ht="15.75" customHeight="1" x14ac:dyDescent="0.2">
      <c r="Q159" s="3">
        <v>3.5</v>
      </c>
      <c r="R159" s="3">
        <f t="shared" si="31"/>
        <v>140000</v>
      </c>
      <c r="S159" s="52">
        <f t="shared" si="32"/>
        <v>879645.94300514203</v>
      </c>
      <c r="T159" s="58">
        <f t="shared" si="23"/>
        <v>-25.742929634673295</v>
      </c>
      <c r="U159" s="58">
        <f t="shared" si="24"/>
        <v>-107.29227756821837</v>
      </c>
      <c r="V159" s="58">
        <f t="shared" si="25"/>
        <v>-3.3549108194044166</v>
      </c>
      <c r="W159" s="58">
        <f t="shared" si="26"/>
        <v>100.12000671522391</v>
      </c>
      <c r="X159" s="58">
        <f t="shared" si="29"/>
        <v>-29.097840454077712</v>
      </c>
      <c r="Y159" s="58">
        <f t="shared" si="29"/>
        <v>-7.1722708529944583</v>
      </c>
      <c r="Z159" s="58">
        <f t="shared" si="27"/>
        <v>-40.140333435202209</v>
      </c>
      <c r="AA159" s="58">
        <f t="shared" si="28"/>
        <v>-119.56726635933833</v>
      </c>
      <c r="AB159" s="58">
        <f t="shared" si="30"/>
        <v>-43.495244254606625</v>
      </c>
      <c r="AC159" s="58">
        <f t="shared" si="30"/>
        <v>-19.447259644114425</v>
      </c>
    </row>
    <row r="160" spans="17:29" ht="15.75" customHeight="1" x14ac:dyDescent="0.2">
      <c r="Q160" s="3">
        <v>4</v>
      </c>
      <c r="R160" s="3">
        <f t="shared" si="31"/>
        <v>160000</v>
      </c>
      <c r="S160" s="52">
        <f t="shared" si="32"/>
        <v>1005309.6491487338</v>
      </c>
      <c r="T160" s="58">
        <f t="shared" si="23"/>
        <v>-26.836307386535722</v>
      </c>
      <c r="U160" s="58">
        <f t="shared" si="24"/>
        <v>-119.01479564043316</v>
      </c>
      <c r="V160" s="58">
        <f t="shared" si="25"/>
        <v>-4.4831488128638508</v>
      </c>
      <c r="W160" s="58">
        <f t="shared" si="26"/>
        <v>98.876610011262116</v>
      </c>
      <c r="X160" s="58">
        <f t="shared" si="29"/>
        <v>-31.319456199399575</v>
      </c>
      <c r="Y160" s="58">
        <f t="shared" si="29"/>
        <v>-20.138185629171048</v>
      </c>
      <c r="Z160" s="58">
        <f t="shared" si="27"/>
        <v>-41.454100814698087</v>
      </c>
      <c r="AA160" s="58">
        <f t="shared" si="28"/>
        <v>-125.24817182722889</v>
      </c>
      <c r="AB160" s="58">
        <f t="shared" si="30"/>
        <v>-45.93724962756194</v>
      </c>
      <c r="AC160" s="58">
        <f t="shared" si="30"/>
        <v>-26.371561815966771</v>
      </c>
    </row>
    <row r="161" spans="17:29" ht="15.75" customHeight="1" x14ac:dyDescent="0.2">
      <c r="Q161" s="3">
        <v>4.5</v>
      </c>
      <c r="R161" s="3">
        <f t="shared" si="31"/>
        <v>180000</v>
      </c>
      <c r="S161" s="52">
        <f t="shared" si="32"/>
        <v>1130973.3552923256</v>
      </c>
      <c r="T161" s="58">
        <f t="shared" si="23"/>
        <v>-28.038540590860791</v>
      </c>
      <c r="U161" s="58">
        <f t="shared" si="24"/>
        <v>-130.01354927419243</v>
      </c>
      <c r="V161" s="58">
        <f t="shared" si="25"/>
        <v>-5.4844001238510751</v>
      </c>
      <c r="W161" s="58">
        <f t="shared" si="26"/>
        <v>97.903583632247845</v>
      </c>
      <c r="X161" s="58">
        <f t="shared" si="29"/>
        <v>-33.522940714711865</v>
      </c>
      <c r="Y161" s="58">
        <f t="shared" si="29"/>
        <v>-32.109965641944584</v>
      </c>
      <c r="Z161" s="58">
        <f t="shared" si="27"/>
        <v>-42.730179760801299</v>
      </c>
      <c r="AA161" s="58">
        <f t="shared" si="28"/>
        <v>-130.78354930942297</v>
      </c>
      <c r="AB161" s="58">
        <f t="shared" si="30"/>
        <v>-48.214579884652373</v>
      </c>
      <c r="AC161" s="58">
        <f t="shared" si="30"/>
        <v>-32.879965677175122</v>
      </c>
    </row>
    <row r="162" spans="17:29" ht="15.75" customHeight="1" x14ac:dyDescent="0.2">
      <c r="Q162" s="3">
        <v>5</v>
      </c>
      <c r="R162" s="3">
        <f t="shared" si="31"/>
        <v>200000</v>
      </c>
      <c r="S162" s="52">
        <f t="shared" si="32"/>
        <v>1256637.0614359172</v>
      </c>
      <c r="T162" s="58">
        <f t="shared" si="23"/>
        <v>-29.321772347830958</v>
      </c>
      <c r="U162" s="58">
        <f t="shared" si="24"/>
        <v>-140.14874264481378</v>
      </c>
      <c r="V162" s="58">
        <f t="shared" si="25"/>
        <v>-6.3838897401127284</v>
      </c>
      <c r="W162" s="58">
        <f t="shared" si="26"/>
        <v>97.12180827864583</v>
      </c>
      <c r="X162" s="58">
        <f t="shared" si="29"/>
        <v>-35.705662087943686</v>
      </c>
      <c r="Y162" s="58">
        <f t="shared" si="29"/>
        <v>-43.02693436616795</v>
      </c>
      <c r="Z162" s="58">
        <f t="shared" si="27"/>
        <v>-43.981680188528003</v>
      </c>
      <c r="AA162" s="58">
        <f t="shared" si="28"/>
        <v>-136.01557296093227</v>
      </c>
      <c r="AB162" s="58">
        <f t="shared" si="30"/>
        <v>-50.365569928640731</v>
      </c>
      <c r="AC162" s="58">
        <f t="shared" si="30"/>
        <v>-38.893764682286445</v>
      </c>
    </row>
    <row r="163" spans="17:29" ht="15.75" customHeight="1" x14ac:dyDescent="0.2">
      <c r="Q163" s="3">
        <v>5.5</v>
      </c>
      <c r="R163" s="3">
        <f t="shared" si="31"/>
        <v>220000</v>
      </c>
      <c r="S163" s="52">
        <f t="shared" si="32"/>
        <v>1382300.7675795089</v>
      </c>
      <c r="T163" s="58">
        <f t="shared" si="23"/>
        <v>-30.656880932181977</v>
      </c>
      <c r="U163" s="58">
        <f t="shared" si="24"/>
        <v>-149.36568229061251</v>
      </c>
      <c r="V163" s="58">
        <f t="shared" si="25"/>
        <v>-7.2001202145008723</v>
      </c>
      <c r="W163" s="58">
        <f t="shared" si="26"/>
        <v>96.480166127795087</v>
      </c>
      <c r="X163" s="58">
        <f t="shared" si="29"/>
        <v>-37.857001146682848</v>
      </c>
      <c r="Y163" s="58">
        <f t="shared" si="29"/>
        <v>-52.885516162817424</v>
      </c>
      <c r="Z163" s="58">
        <f t="shared" si="27"/>
        <v>-45.209086847928191</v>
      </c>
      <c r="AA163" s="58">
        <f t="shared" si="28"/>
        <v>-140.85075742559854</v>
      </c>
      <c r="AB163" s="58">
        <f t="shared" si="30"/>
        <v>-52.409207062429061</v>
      </c>
      <c r="AC163" s="58">
        <f t="shared" si="30"/>
        <v>-44.370591297803458</v>
      </c>
    </row>
    <row r="164" spans="17:29" ht="15.75" customHeight="1" x14ac:dyDescent="0.2">
      <c r="Q164" s="3">
        <v>6</v>
      </c>
      <c r="R164" s="3">
        <f t="shared" si="31"/>
        <v>240000</v>
      </c>
      <c r="S164" s="52">
        <f t="shared" si="32"/>
        <v>1507964.4737231007</v>
      </c>
      <c r="T164" s="58">
        <f t="shared" si="23"/>
        <v>-32.01756198598784</v>
      </c>
      <c r="U164" s="58">
        <f t="shared" si="24"/>
        <v>-157.67463897486257</v>
      </c>
      <c r="V164" s="58">
        <f t="shared" si="25"/>
        <v>-7.9470301388678042</v>
      </c>
      <c r="W164" s="58">
        <f t="shared" si="26"/>
        <v>95.944203994030417</v>
      </c>
      <c r="X164" s="58">
        <f t="shared" si="29"/>
        <v>-39.964592124855642</v>
      </c>
      <c r="Y164" s="58">
        <f t="shared" si="29"/>
        <v>-61.730434980832158</v>
      </c>
      <c r="Z164" s="58">
        <f t="shared" si="27"/>
        <v>-46.407681148936518</v>
      </c>
      <c r="AA164" s="58">
        <f t="shared" si="28"/>
        <v>-145.25242688215823</v>
      </c>
      <c r="AB164" s="58">
        <f t="shared" si="30"/>
        <v>-54.354711287804321</v>
      </c>
      <c r="AC164" s="58">
        <f t="shared" si="30"/>
        <v>-49.308222888127816</v>
      </c>
    </row>
    <row r="165" spans="17:29" ht="15.75" customHeight="1" x14ac:dyDescent="0.2">
      <c r="Q165" s="3">
        <v>6.5</v>
      </c>
      <c r="R165" s="3">
        <f t="shared" si="31"/>
        <v>260000</v>
      </c>
      <c r="S165" s="52">
        <f t="shared" si="32"/>
        <v>1633628.1798666925</v>
      </c>
      <c r="T165" s="58">
        <f t="shared" si="23"/>
        <v>-33.3823968790309</v>
      </c>
      <c r="U165" s="58">
        <f t="shared" si="24"/>
        <v>-165.12800178243842</v>
      </c>
      <c r="V165" s="58">
        <f t="shared" si="25"/>
        <v>-8.63536356163271</v>
      </c>
      <c r="W165" s="58">
        <f t="shared" si="26"/>
        <v>95.48987451616685</v>
      </c>
      <c r="X165" s="58">
        <f t="shared" si="29"/>
        <v>-42.017760440663608</v>
      </c>
      <c r="Y165" s="58">
        <f t="shared" si="29"/>
        <v>-69.638127266271567</v>
      </c>
      <c r="Z165" s="58">
        <f t="shared" si="27"/>
        <v>-47.571882588797784</v>
      </c>
      <c r="AA165" s="58">
        <f t="shared" si="28"/>
        <v>-149.22459270816367</v>
      </c>
      <c r="AB165" s="58">
        <f t="shared" si="30"/>
        <v>-56.207246150430493</v>
      </c>
      <c r="AC165" s="58">
        <f t="shared" si="30"/>
        <v>-53.734718191996819</v>
      </c>
    </row>
    <row r="166" spans="17:29" ht="15.75" customHeight="1" x14ac:dyDescent="0.2">
      <c r="Q166" s="3">
        <v>7</v>
      </c>
      <c r="R166" s="3">
        <f t="shared" si="31"/>
        <v>280000</v>
      </c>
      <c r="S166" s="52">
        <f t="shared" si="32"/>
        <v>1759291.8860102841</v>
      </c>
      <c r="T166" s="58">
        <f t="shared" si="23"/>
        <v>-34.735276956219316</v>
      </c>
      <c r="U166" s="58">
        <f t="shared" si="24"/>
        <v>-171.80040631400263</v>
      </c>
      <c r="V166" s="58">
        <f t="shared" si="25"/>
        <v>-9.2735675544955551</v>
      </c>
      <c r="W166" s="58">
        <f t="shared" si="26"/>
        <v>95.099893521565861</v>
      </c>
      <c r="X166" s="58">
        <f t="shared" si="29"/>
        <v>-44.008844510714873</v>
      </c>
      <c r="Y166" s="58">
        <f t="shared" si="29"/>
        <v>-76.700512792436768</v>
      </c>
      <c r="Z166" s="58">
        <f t="shared" si="27"/>
        <v>-48.697260470624222</v>
      </c>
      <c r="AA166" s="58">
        <f t="shared" si="28"/>
        <v>-152.79553771500105</v>
      </c>
      <c r="AB166" s="58">
        <f t="shared" si="30"/>
        <v>-57.970828025119779</v>
      </c>
      <c r="AC166" s="58">
        <f t="shared" si="30"/>
        <v>-57.695644193435186</v>
      </c>
    </row>
    <row r="167" spans="17:29" ht="15.75" customHeight="1" x14ac:dyDescent="0.2">
      <c r="Q167" s="3">
        <v>7.5</v>
      </c>
      <c r="R167" s="3">
        <f t="shared" si="31"/>
        <v>300000</v>
      </c>
      <c r="S167" s="52">
        <f t="shared" si="32"/>
        <v>1884955.5921538759</v>
      </c>
      <c r="T167" s="58">
        <f t="shared" si="23"/>
        <v>-36.06486883293352</v>
      </c>
      <c r="U167" s="58">
        <f t="shared" si="24"/>
        <v>-177.77439984875929</v>
      </c>
      <c r="V167" s="58">
        <f t="shared" si="25"/>
        <v>-9.8683981698937089</v>
      </c>
      <c r="W167" s="58">
        <f t="shared" si="26"/>
        <v>94.761523904587278</v>
      </c>
      <c r="X167" s="58">
        <f t="shared" si="29"/>
        <v>-45.933267002827229</v>
      </c>
      <c r="Y167" s="58">
        <f t="shared" si="29"/>
        <v>-83.012875944172009</v>
      </c>
      <c r="Z167" s="58">
        <f t="shared" si="27"/>
        <v>-49.781125302771386</v>
      </c>
      <c r="AA167" s="58">
        <f t="shared" si="28"/>
        <v>-156.00510254351309</v>
      </c>
      <c r="AB167" s="58">
        <f t="shared" si="30"/>
        <v>-59.649523472665095</v>
      </c>
      <c r="AC167" s="58">
        <f t="shared" si="30"/>
        <v>-61.243578638925811</v>
      </c>
    </row>
    <row r="168" spans="17:29" ht="15.75" customHeight="1" x14ac:dyDescent="0.2">
      <c r="Q168" s="3">
        <v>8</v>
      </c>
      <c r="R168" s="3">
        <f t="shared" si="31"/>
        <v>320000</v>
      </c>
      <c r="S168" s="52">
        <f t="shared" si="32"/>
        <v>2010619.2982974676</v>
      </c>
      <c r="T168" s="58">
        <f t="shared" si="23"/>
        <v>-37.363701942321555</v>
      </c>
      <c r="U168" s="58">
        <f t="shared" si="24"/>
        <v>176.86846753970897</v>
      </c>
      <c r="V168" s="58">
        <f t="shared" si="25"/>
        <v>-10.425340487375315</v>
      </c>
      <c r="W168" s="58">
        <f t="shared" si="26"/>
        <v>94.465175555510172</v>
      </c>
      <c r="X168" s="58">
        <f t="shared" si="29"/>
        <v>-47.78904242969687</v>
      </c>
      <c r="Y168" s="58">
        <f t="shared" si="29"/>
        <v>271.33364309521914</v>
      </c>
      <c r="Z168" s="58">
        <f t="shared" si="27"/>
        <v>-50.82242344670091</v>
      </c>
      <c r="AA168" s="58">
        <f t="shared" si="28"/>
        <v>-158.89637733219675</v>
      </c>
      <c r="AB168" s="58">
        <f t="shared" si="30"/>
        <v>-61.247763934076225</v>
      </c>
      <c r="AC168" s="58">
        <f t="shared" si="30"/>
        <v>-64.431201776686578</v>
      </c>
    </row>
    <row r="169" spans="17:29" ht="15.75" customHeight="1" x14ac:dyDescent="0.2">
      <c r="Q169" s="3">
        <v>8.5</v>
      </c>
      <c r="R169" s="3">
        <f t="shared" si="31"/>
        <v>340000</v>
      </c>
      <c r="S169" s="52">
        <f t="shared" si="32"/>
        <v>2136283.0044410592</v>
      </c>
      <c r="T169" s="58">
        <f t="shared" si="23"/>
        <v>-38.627228287846222</v>
      </c>
      <c r="U169" s="58">
        <f t="shared" si="24"/>
        <v>172.05241664009816</v>
      </c>
      <c r="V169" s="58">
        <f t="shared" si="25"/>
        <v>-10.948906717276756</v>
      </c>
      <c r="W169" s="58">
        <f t="shared" si="26"/>
        <v>94.203491671510676</v>
      </c>
      <c r="X169" s="58">
        <f t="shared" si="29"/>
        <v>-49.576135005122978</v>
      </c>
      <c r="Y169" s="58">
        <f t="shared" si="29"/>
        <v>266.25590831160883</v>
      </c>
      <c r="Z169" s="58">
        <f t="shared" si="27"/>
        <v>-51.821379818220699</v>
      </c>
      <c r="AA169" s="58">
        <f t="shared" si="28"/>
        <v>-161.5109769920914</v>
      </c>
      <c r="AB169" s="58">
        <f t="shared" si="30"/>
        <v>-62.770286535497455</v>
      </c>
      <c r="AC169" s="58">
        <f t="shared" si="30"/>
        <v>-67.307485320580724</v>
      </c>
    </row>
    <row r="170" spans="17:29" ht="15.75" customHeight="1" x14ac:dyDescent="0.2">
      <c r="Q170" s="3">
        <v>9</v>
      </c>
      <c r="R170" s="3">
        <f t="shared" si="31"/>
        <v>360000</v>
      </c>
      <c r="S170" s="52">
        <f t="shared" si="32"/>
        <v>2261946.7105846512</v>
      </c>
      <c r="T170" s="58">
        <f t="shared" si="23"/>
        <v>-39.853012129916287</v>
      </c>
      <c r="U170" s="58">
        <f t="shared" si="24"/>
        <v>167.70949891080753</v>
      </c>
      <c r="V170" s="58">
        <f t="shared" si="25"/>
        <v>-11.442852239799834</v>
      </c>
      <c r="W170" s="58">
        <f t="shared" si="26"/>
        <v>93.970735427803305</v>
      </c>
      <c r="X170" s="58">
        <f t="shared" si="29"/>
        <v>-51.295864369716121</v>
      </c>
      <c r="Y170" s="58">
        <f t="shared" si="29"/>
        <v>261.68023433861083</v>
      </c>
      <c r="Z170" s="58">
        <f t="shared" si="27"/>
        <v>-52.779111384762906</v>
      </c>
      <c r="AA170" s="58">
        <f t="shared" si="28"/>
        <v>-163.88674884100743</v>
      </c>
      <c r="AB170" s="58">
        <f t="shared" si="30"/>
        <v>-64.221963624562733</v>
      </c>
      <c r="AC170" s="58">
        <f t="shared" si="30"/>
        <v>-69.916013413204126</v>
      </c>
    </row>
    <row r="171" spans="17:29" ht="15.75" customHeight="1" x14ac:dyDescent="0.2">
      <c r="Q171" s="3">
        <v>9.5</v>
      </c>
      <c r="R171" s="3">
        <f t="shared" si="31"/>
        <v>380000</v>
      </c>
      <c r="S171" s="52">
        <f t="shared" si="32"/>
        <v>2387610.4167282428</v>
      </c>
      <c r="T171" s="58">
        <f t="shared" si="23"/>
        <v>-41.040092658979297</v>
      </c>
      <c r="U171" s="58">
        <f t="shared" si="24"/>
        <v>163.78006295190301</v>
      </c>
      <c r="V171" s="58">
        <f t="shared" si="25"/>
        <v>-11.910335125897982</v>
      </c>
      <c r="W171" s="58">
        <f t="shared" si="26"/>
        <v>93.762367963881587</v>
      </c>
      <c r="X171" s="58">
        <f t="shared" si="29"/>
        <v>-52.950427784877277</v>
      </c>
      <c r="Y171" s="58">
        <f t="shared" si="29"/>
        <v>257.54243091578462</v>
      </c>
      <c r="Z171" s="58">
        <f t="shared" si="27"/>
        <v>-53.697299814611029</v>
      </c>
      <c r="AA171" s="58">
        <f t="shared" si="28"/>
        <v>-166.05694593560898</v>
      </c>
      <c r="AB171" s="58">
        <f t="shared" si="30"/>
        <v>-65.607634940509016</v>
      </c>
      <c r="AC171" s="58">
        <f t="shared" si="30"/>
        <v>-72.294577971727392</v>
      </c>
    </row>
    <row r="172" spans="17:29" ht="15.75" customHeight="1" x14ac:dyDescent="0.2">
      <c r="Q172" s="3">
        <v>10</v>
      </c>
      <c r="R172" s="3">
        <f t="shared" si="31"/>
        <v>400000</v>
      </c>
      <c r="S172" s="52">
        <f t="shared" si="32"/>
        <v>2513274.1228718343</v>
      </c>
      <c r="T172" s="58">
        <f t="shared" si="23"/>
        <v>-42.188508768967914</v>
      </c>
      <c r="U172" s="58">
        <f t="shared" si="24"/>
        <v>160.21238096980537</v>
      </c>
      <c r="V172" s="58">
        <f t="shared" si="25"/>
        <v>-12.354035916127266</v>
      </c>
      <c r="W172" s="58">
        <f t="shared" si="26"/>
        <v>93.574751592985209</v>
      </c>
      <c r="X172" s="58">
        <f t="shared" si="29"/>
        <v>-54.54254468509518</v>
      </c>
      <c r="Y172" s="58">
        <f t="shared" si="29"/>
        <v>253.78713256279059</v>
      </c>
      <c r="Z172" s="58">
        <f t="shared" si="27"/>
        <v>-54.577944284771306</v>
      </c>
      <c r="AA172" s="58">
        <f t="shared" si="28"/>
        <v>-168.05019845833098</v>
      </c>
      <c r="AB172" s="58">
        <f t="shared" si="30"/>
        <v>-66.931980200898579</v>
      </c>
      <c r="AC172" s="58">
        <f t="shared" si="30"/>
        <v>-74.475446865345774</v>
      </c>
    </row>
  </sheetData>
  <sheetProtection formatCells="0" formatColumns="0" formatRows="0"/>
  <protectedRanges>
    <protectedRange sqref="I113" name="Range6"/>
    <protectedRange sqref="G106:G108" name="Range5"/>
    <protectedRange sqref="P1:AP191" name="Range3"/>
    <protectedRange sqref="I13 I14 I15 I16 I21 I28 I30 I36 I37 I39 I47 I52 I53 I60 I61 I71 I72 I73 I80 I86 I91 I96 I101 I103 I105 I108 I111 I114 I115 I116 I117" name="Range1"/>
    <protectedRange sqref="I112" name="Range2"/>
    <protectedRange sqref="I106:I107" name="Range4"/>
  </protectedRanges>
  <phoneticPr fontId="2" type="noConversion"/>
  <conditionalFormatting sqref="I62">
    <cfRule type="cellIs" dxfId="21" priority="13" stopIfTrue="1" operator="notBetween">
      <formula>1</formula>
      <formula>$W$25</formula>
    </cfRule>
  </conditionalFormatting>
  <conditionalFormatting sqref="I73">
    <cfRule type="cellIs" dxfId="20" priority="14" stopIfTrue="1" operator="greaterThan">
      <formula>0.1</formula>
    </cfRule>
  </conditionalFormatting>
  <conditionalFormatting sqref="I86">
    <cfRule type="cellIs" dxfId="19" priority="15" stopIfTrue="1" operator="lessThan">
      <formula>$W$26</formula>
    </cfRule>
  </conditionalFormatting>
  <conditionalFormatting sqref="I91">
    <cfRule type="cellIs" dxfId="18" priority="16" stopIfTrue="1" operator="lessThan">
      <formula>$W$27</formula>
    </cfRule>
  </conditionalFormatting>
  <conditionalFormatting sqref="I102:I103">
    <cfRule type="cellIs" dxfId="17" priority="17" stopIfTrue="1" operator="notBetween">
      <formula>2000</formula>
      <formula>40000</formula>
    </cfRule>
  </conditionalFormatting>
  <conditionalFormatting sqref="I106:I107">
    <cfRule type="cellIs" dxfId="16" priority="18" stopIfTrue="1" operator="equal">
      <formula>"NU"</formula>
    </cfRule>
  </conditionalFormatting>
  <conditionalFormatting sqref="I112:I117">
    <cfRule type="cellIs" dxfId="15" priority="25" stopIfTrue="1" operator="equal">
      <formula>"NA"</formula>
    </cfRule>
  </conditionalFormatting>
  <conditionalFormatting sqref="I13">
    <cfRule type="cellIs" dxfId="14" priority="1" stopIfTrue="1" operator="notBetween">
      <formula>$I$14</formula>
      <formula>65</formula>
    </cfRule>
  </conditionalFormatting>
  <conditionalFormatting sqref="I14">
    <cfRule type="cellIs" dxfId="13" priority="2" stopIfTrue="1" operator="notBetween">
      <formula>$I$15</formula>
      <formula>$I$13</formula>
    </cfRule>
  </conditionalFormatting>
  <conditionalFormatting sqref="I15">
    <cfRule type="cellIs" dxfId="12" priority="3" stopIfTrue="1" operator="notBetween">
      <formula>0.8</formula>
      <formula>$I$14</formula>
    </cfRule>
  </conditionalFormatting>
  <conditionalFormatting sqref="I17">
    <cfRule type="cellIs" dxfId="11" priority="4" stopIfTrue="1" operator="equal">
      <formula>"Out of Spec"</formula>
    </cfRule>
  </conditionalFormatting>
  <conditionalFormatting sqref="I21">
    <cfRule type="cellIs" dxfId="10" priority="5" stopIfTrue="1" operator="notBetween">
      <formula>50</formula>
      <formula>750</formula>
    </cfRule>
  </conditionalFormatting>
  <conditionalFormatting sqref="I22:I23">
    <cfRule type="cellIs" dxfId="9" priority="6" stopIfTrue="1" operator="equal">
      <formula>"Out of Spec"</formula>
    </cfRule>
  </conditionalFormatting>
  <conditionalFormatting sqref="I28">
    <cfRule type="cellIs" dxfId="8" priority="7" stopIfTrue="1" operator="notBetween">
      <formula>1</formula>
      <formula>99</formula>
    </cfRule>
  </conditionalFormatting>
  <conditionalFormatting sqref="I36">
    <cfRule type="cellIs" dxfId="7" priority="8" stopIfTrue="1" operator="notBetween">
      <formula>10</formula>
      <formula>100</formula>
    </cfRule>
  </conditionalFormatting>
  <conditionalFormatting sqref="I37">
    <cfRule type="cellIs" dxfId="6" priority="9" stopIfTrue="1" operator="notBetween">
      <formula>0.5</formula>
      <formula>3</formula>
    </cfRule>
  </conditionalFormatting>
  <conditionalFormatting sqref="I47">
    <cfRule type="cellIs" dxfId="5" priority="10" stopIfTrue="1" operator="notBetween">
      <formula>10</formula>
      <formula>2200</formula>
    </cfRule>
  </conditionalFormatting>
  <conditionalFormatting sqref="I52">
    <cfRule type="cellIs" dxfId="4" priority="11" stopIfTrue="1" operator="notBetween">
      <formula>$W$24</formula>
      <formula>$I$14</formula>
    </cfRule>
  </conditionalFormatting>
  <conditionalFormatting sqref="I53">
    <cfRule type="cellIs" dxfId="3" priority="12" stopIfTrue="1" operator="notBetween">
      <formula>0.1</formula>
      <formula>10</formula>
    </cfRule>
  </conditionalFormatting>
  <conditionalFormatting sqref="I101">
    <cfRule type="cellIs" dxfId="2" priority="38" stopIfTrue="1" operator="notBetween">
      <formula>$W$40</formula>
      <formula>$W$32</formula>
    </cfRule>
  </conditionalFormatting>
  <conditionalFormatting sqref="I111">
    <cfRule type="cellIs" dxfId="1" priority="40" stopIfTrue="1" operator="notBetween">
      <formula>-40</formula>
      <formula>125</formula>
    </cfRule>
  </conditionalFormatting>
  <conditionalFormatting sqref="I108">
    <cfRule type="cellIs" dxfId="0" priority="41" stopIfTrue="1" operator="equal">
      <formula>"NU"</formula>
    </cfRule>
  </conditionalFormatting>
  <dataValidations count="1">
    <dataValidation type="list" allowBlank="1" showInputMessage="1" showErrorMessage="1" sqref="I112" xr:uid="{00000000-0002-0000-0000-000000000000}">
      <formula1>$W$22:$W$23</formula1>
    </dataValidation>
  </dataValidations>
  <hyperlinks>
    <hyperlink ref="C125" r:id="rId1" xr:uid="{00000000-0004-0000-0000-000000000000}"/>
  </hyperlinks>
  <pageMargins left="0.75" right="0.75" top="1" bottom="1" header="0.5" footer="0.5"/>
  <pageSetup scale="66" orientation="portrait" r:id="rId2"/>
  <headerFooter alignWithMargins="0"/>
  <rowBreaks count="1" manualBreakCount="1">
    <brk id="64" max="16383" man="1"/>
  </rowBreaks>
  <colBreaks count="1" manualBreakCount="1">
    <brk id="15" max="1048575" man="1"/>
  </colBreaks>
  <drawing r:id="rId3"/>
  <legacyDrawing r:id="rId4"/>
  <oleObjects>
    <mc:AlternateContent xmlns:mc="http://schemas.openxmlformats.org/markup-compatibility/2006">
      <mc:Choice Requires="x14">
        <oleObject progId="Visio.Drawing.11" shapeId="1039" r:id="rId5">
          <objectPr defaultSize="0" autoPict="0" r:id="rId6">
            <anchor moveWithCells="1">
              <from>
                <xdr:col>10</xdr:col>
                <xdr:colOff>0</xdr:colOff>
                <xdr:row>11</xdr:row>
                <xdr:rowOff>28575</xdr:rowOff>
              </from>
              <to>
                <xdr:col>14</xdr:col>
                <xdr:colOff>238125</xdr:colOff>
                <xdr:row>23</xdr:row>
                <xdr:rowOff>190500</xdr:rowOff>
              </to>
            </anchor>
          </objectPr>
        </oleObject>
      </mc:Choice>
      <mc:Fallback>
        <oleObject progId="Visio.Drawing.11" shapeId="1039" r:id="rId5"/>
      </mc:Fallback>
    </mc:AlternateContent>
  </oleObjects>
  <controls>
    <mc:AlternateContent xmlns:mc="http://schemas.openxmlformats.org/markup-compatibility/2006">
      <mc:Choice Requires="x14">
        <control shapeId="1043" r:id="rId7" name="CommandButton1">
          <controlPr defaultSize="0" autoLine="0" r:id="rId8">
            <anchor moveWithCells="1">
              <from>
                <xdr:col>11</xdr:col>
                <xdr:colOff>609600</xdr:colOff>
                <xdr:row>120</xdr:row>
                <xdr:rowOff>57150</xdr:rowOff>
              </from>
              <to>
                <xdr:col>12</xdr:col>
                <xdr:colOff>485775</xdr:colOff>
                <xdr:row>121</xdr:row>
                <xdr:rowOff>152400</xdr:rowOff>
              </to>
            </anchor>
          </controlPr>
        </control>
      </mc:Choice>
      <mc:Fallback>
        <control shapeId="1043" r:id="rId7" name="CommandButton1"/>
      </mc:Fallback>
    </mc:AlternateContent>
    <mc:AlternateContent xmlns:mc="http://schemas.openxmlformats.org/markup-compatibility/2006">
      <mc:Choice Requires="x14">
        <control shapeId="1041" r:id="rId9" name="ComboBox1">
          <controlPr defaultSize="0" autoLine="0" listFillRange="W22:W23" r:id="rId10">
            <anchor moveWithCells="1">
              <from>
                <xdr:col>8</xdr:col>
                <xdr:colOff>0</xdr:colOff>
                <xdr:row>111</xdr:row>
                <xdr:rowOff>0</xdr:rowOff>
              </from>
              <to>
                <xdr:col>9</xdr:col>
                <xdr:colOff>19050</xdr:colOff>
                <xdr:row>112</xdr:row>
                <xdr:rowOff>9525</xdr:rowOff>
              </to>
            </anchor>
          </controlPr>
        </control>
      </mc:Choice>
      <mc:Fallback>
        <control shapeId="1041" r:id="rId9" name="ComboBox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95</vt:i4>
      </vt:variant>
    </vt:vector>
  </HeadingPairs>
  <TitlesOfParts>
    <vt:vector size="96" baseType="lpstr">
      <vt:lpstr>LM(2)5117</vt:lpstr>
      <vt:lpstr>_RFB1</vt:lpstr>
      <vt:lpstr>_RFB2</vt:lpstr>
      <vt:lpstr>_RUV1</vt:lpstr>
      <vt:lpstr>_RUV2</vt:lpstr>
      <vt:lpstr>absmin</vt:lpstr>
      <vt:lpstr>Afb</vt:lpstr>
      <vt:lpstr>Am</vt:lpstr>
      <vt:lpstr>as</vt:lpstr>
      <vt:lpstr>CCOMP</vt:lpstr>
      <vt:lpstr>ccomp_chf</vt:lpstr>
      <vt:lpstr>CFT</vt:lpstr>
      <vt:lpstr>CGD_H</vt:lpstr>
      <vt:lpstr>CGD_L</vt:lpstr>
      <vt:lpstr>CGS_H</vt:lpstr>
      <vt:lpstr>CGS_L</vt:lpstr>
      <vt:lpstr>CHB</vt:lpstr>
      <vt:lpstr>CHF</vt:lpstr>
      <vt:lpstr>CIN</vt:lpstr>
      <vt:lpstr>CL_p</vt:lpstr>
      <vt:lpstr>COUT</vt:lpstr>
      <vt:lpstr>COUT1</vt:lpstr>
      <vt:lpstr>cout1_cout2</vt:lpstr>
      <vt:lpstr>COUT2</vt:lpstr>
      <vt:lpstr>CRAMP</vt:lpstr>
      <vt:lpstr>CRES</vt:lpstr>
      <vt:lpstr>CSS</vt:lpstr>
      <vt:lpstr>CVCC</vt:lpstr>
      <vt:lpstr>DMAX</vt:lpstr>
      <vt:lpstr>DMIN</vt:lpstr>
      <vt:lpstr>EXT</vt:lpstr>
      <vt:lpstr>EXTVCC</vt:lpstr>
      <vt:lpstr>FCROSS</vt:lpstr>
      <vt:lpstr>fcrossmax</vt:lpstr>
      <vt:lpstr>Fp_lf</vt:lpstr>
      <vt:lpstr>FSW</vt:lpstr>
      <vt:lpstr>Fz_esr</vt:lpstr>
      <vt:lpstr>IC</vt:lpstr>
      <vt:lpstr>icclimit</vt:lpstr>
      <vt:lpstr>ihys</vt:lpstr>
      <vt:lpstr>IMAX_VINMAX</vt:lpstr>
      <vt:lpstr>IMAX_VINMIN</vt:lpstr>
      <vt:lpstr>IOUT</vt:lpstr>
      <vt:lpstr>IPEAK</vt:lpstr>
      <vt:lpstr>ires</vt:lpstr>
      <vt:lpstr>iss</vt:lpstr>
      <vt:lpstr>ivcc</vt:lpstr>
      <vt:lpstr>Ivin_oper</vt:lpstr>
      <vt:lpstr>K</vt:lpstr>
      <vt:lpstr>LO</vt:lpstr>
      <vt:lpstr>LO_</vt:lpstr>
      <vt:lpstr>mintoff</vt:lpstr>
      <vt:lpstr>minton</vt:lpstr>
      <vt:lpstr>PLOSSIC</vt:lpstr>
      <vt:lpstr>'LM(2)5117'!Print_Area</vt:lpstr>
      <vt:lpstr>PRS</vt:lpstr>
      <vt:lpstr>Q</vt:lpstr>
      <vt:lpstr>QGH</vt:lpstr>
      <vt:lpstr>QGL</vt:lpstr>
      <vt:lpstr>RCOMP</vt:lpstr>
      <vt:lpstr>RESR</vt:lpstr>
      <vt:lpstr>RESR2</vt:lpstr>
      <vt:lpstr>resth</vt:lpstr>
      <vt:lpstr>Rload</vt:lpstr>
      <vt:lpstr>RR</vt:lpstr>
      <vt:lpstr>RRAMP</vt:lpstr>
      <vt:lpstr>RS</vt:lpstr>
      <vt:lpstr>RS_</vt:lpstr>
      <vt:lpstr>RT</vt:lpstr>
      <vt:lpstr>rvcc</vt:lpstr>
      <vt:lpstr>TAMB</vt:lpstr>
      <vt:lpstr>theta_llp</vt:lpstr>
      <vt:lpstr>theta_tssop</vt:lpstr>
      <vt:lpstr>TRES</vt:lpstr>
      <vt:lpstr>TSS</vt:lpstr>
      <vt:lpstr>tsslimit</vt:lpstr>
      <vt:lpstr>uvloth</vt:lpstr>
      <vt:lpstr>vcsth</vt:lpstr>
      <vt:lpstr>VHYS</vt:lpstr>
      <vt:lpstr>VINMAX</vt:lpstr>
      <vt:lpstr>VINMIN</vt:lpstr>
      <vt:lpstr>VINSTARTUP</vt:lpstr>
      <vt:lpstr>VOUT</vt:lpstr>
      <vt:lpstr>VPP</vt:lpstr>
      <vt:lpstr>vrt</vt:lpstr>
      <vt:lpstr>wlc</vt:lpstr>
      <vt:lpstr>wn</vt:lpstr>
      <vt:lpstr>wp_ea</vt:lpstr>
      <vt:lpstr>wp_esr</vt:lpstr>
      <vt:lpstr>wp_esr2</vt:lpstr>
      <vt:lpstr>wp_hf</vt:lpstr>
      <vt:lpstr>wp_lf</vt:lpstr>
      <vt:lpstr>wp_lf2</vt:lpstr>
      <vt:lpstr>wz_ea</vt:lpstr>
      <vt:lpstr>wz_esr</vt:lpstr>
      <vt:lpstr>wz_esr2</vt:lpstr>
    </vt:vector>
  </TitlesOfParts>
  <Company>NSC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dc:creator>
  <cp:lastModifiedBy>Steven Wang (王 宇韬)</cp:lastModifiedBy>
  <cp:lastPrinted>2011-04-28T16:21:22Z</cp:lastPrinted>
  <dcterms:created xsi:type="dcterms:W3CDTF">2010-11-02T15:04:40Z</dcterms:created>
  <dcterms:modified xsi:type="dcterms:W3CDTF">2023-04-10T01:23:08Z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d06e56-1756-4005-87f1-1edc72dd4bdf_Enabled">
    <vt:lpwstr>true</vt:lpwstr>
  </property>
  <property fmtid="{D5CDD505-2E9C-101B-9397-08002B2CF9AE}" pid="3" name="MSIP_Label_52d06e56-1756-4005-87f1-1edc72dd4bdf_SetDate">
    <vt:lpwstr>2023-03-30T08:30:00Z</vt:lpwstr>
  </property>
  <property fmtid="{D5CDD505-2E9C-101B-9397-08002B2CF9AE}" pid="4" name="MSIP_Label_52d06e56-1756-4005-87f1-1edc72dd4bdf_Method">
    <vt:lpwstr>Standard</vt:lpwstr>
  </property>
  <property fmtid="{D5CDD505-2E9C-101B-9397-08002B2CF9AE}" pid="5" name="MSIP_Label_52d06e56-1756-4005-87f1-1edc72dd4bdf_Name">
    <vt:lpwstr>General</vt:lpwstr>
  </property>
  <property fmtid="{D5CDD505-2E9C-101B-9397-08002B2CF9AE}" pid="6" name="MSIP_Label_52d06e56-1756-4005-87f1-1edc72dd4bdf_SiteId">
    <vt:lpwstr>9026c5f4-86d0-4b9f-bd39-b7d4d0fb4674</vt:lpwstr>
  </property>
  <property fmtid="{D5CDD505-2E9C-101B-9397-08002B2CF9AE}" pid="7" name="MSIP_Label_52d06e56-1756-4005-87f1-1edc72dd4bdf_ActionId">
    <vt:lpwstr>582e2023-fe50-4976-9ab8-d044053e7d37</vt:lpwstr>
  </property>
  <property fmtid="{D5CDD505-2E9C-101B-9397-08002B2CF9AE}" pid="8" name="MSIP_Label_52d06e56-1756-4005-87f1-1edc72dd4bdf_ContentBits">
    <vt:lpwstr>0</vt:lpwstr>
  </property>
</Properties>
</file>